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elv\Documents\fietsen\fietsexcel\englishexcell\"/>
    </mc:Choice>
  </mc:AlternateContent>
  <bookViews>
    <workbookView xWindow="0" yWindow="0" windowWidth="16170" windowHeight="6120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H94" i="1" l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E94" i="1"/>
  <c r="E95" i="1"/>
  <c r="Q71" i="1"/>
  <c r="Q95" i="1"/>
  <c r="P95" i="1"/>
  <c r="O95" i="1"/>
  <c r="N95" i="1"/>
  <c r="M95" i="1"/>
  <c r="L95" i="1"/>
  <c r="K95" i="1"/>
  <c r="J95" i="1"/>
  <c r="I95" i="1"/>
  <c r="H95" i="1"/>
  <c r="G95" i="1"/>
  <c r="F95" i="1"/>
  <c r="Q94" i="1"/>
  <c r="P94" i="1"/>
  <c r="O94" i="1"/>
  <c r="N94" i="1"/>
  <c r="M94" i="1"/>
  <c r="L94" i="1"/>
  <c r="K94" i="1"/>
  <c r="J94" i="1"/>
  <c r="I94" i="1"/>
  <c r="G94" i="1"/>
  <c r="F94" i="1"/>
  <c r="D14" i="1"/>
  <c r="D13" i="1"/>
  <c r="D12" i="1"/>
  <c r="M7" i="1"/>
  <c r="R76" i="1"/>
  <c r="O47" i="1"/>
  <c r="E12" i="1"/>
  <c r="J14" i="1"/>
  <c r="L24" i="1"/>
  <c r="Q28" i="1"/>
  <c r="R57" i="1"/>
  <c r="O13" i="1"/>
  <c r="R37" i="1"/>
  <c r="Q34" i="1"/>
  <c r="M35" i="1"/>
  <c r="L39" i="1"/>
  <c r="Q51" i="1"/>
  <c r="P23" i="1"/>
  <c r="M23" i="1"/>
  <c r="N44" i="1"/>
  <c r="K37" i="1"/>
  <c r="R41" i="1"/>
  <c r="R62" i="1"/>
  <c r="K13" i="1"/>
  <c r="Q78" i="1"/>
  <c r="N45" i="1"/>
  <c r="P72" i="1"/>
  <c r="F12" i="1"/>
  <c r="M42" i="1"/>
  <c r="P27" i="1"/>
  <c r="R58" i="1"/>
  <c r="Q13" i="1"/>
  <c r="R45" i="1"/>
  <c r="P70" i="1"/>
  <c r="P53" i="1"/>
  <c r="O27" i="1"/>
  <c r="J32" i="1"/>
  <c r="N32" i="1"/>
  <c r="L23" i="1"/>
  <c r="Q33" i="1"/>
  <c r="O52" i="1"/>
  <c r="P45" i="1"/>
  <c r="L33" i="1"/>
  <c r="R44" i="1"/>
  <c r="E22" i="1"/>
  <c r="H19" i="1"/>
  <c r="Q84" i="1"/>
  <c r="G32" i="1"/>
  <c r="P39" i="1"/>
  <c r="R32" i="1"/>
  <c r="J35" i="1"/>
  <c r="Q42" i="1"/>
  <c r="P52" i="1"/>
  <c r="M40" i="1"/>
  <c r="R68" i="1"/>
  <c r="P14" i="1"/>
  <c r="Q81" i="1"/>
  <c r="R59" i="1"/>
  <c r="P31" i="1"/>
  <c r="R48" i="1"/>
  <c r="K35" i="1"/>
  <c r="L12" i="1"/>
  <c r="N14" i="1"/>
  <c r="L22" i="1"/>
  <c r="Q44" i="1"/>
  <c r="R43" i="1"/>
  <c r="R23" i="1"/>
  <c r="O48" i="1"/>
  <c r="E31" i="1"/>
  <c r="R50" i="1"/>
  <c r="L32" i="1"/>
  <c r="P62" i="1"/>
  <c r="G22" i="1"/>
  <c r="G27" i="1"/>
  <c r="M34" i="1"/>
  <c r="K18" i="1"/>
  <c r="Q50" i="1"/>
  <c r="J12" i="1"/>
  <c r="Q67" i="1"/>
  <c r="R35" i="1"/>
  <c r="P65" i="1"/>
  <c r="E28" i="1"/>
  <c r="Q63" i="1"/>
  <c r="Q79" i="1"/>
  <c r="H32" i="1"/>
  <c r="O31" i="1"/>
  <c r="Q56" i="1"/>
  <c r="H13" i="1"/>
  <c r="R80" i="1"/>
  <c r="M22" i="1"/>
  <c r="K25" i="1"/>
  <c r="O14" i="1"/>
  <c r="R85" i="1"/>
  <c r="R84" i="1"/>
  <c r="P32" i="1"/>
  <c r="O32" i="1"/>
  <c r="K22" i="1"/>
  <c r="Q57" i="1"/>
  <c r="R36" i="1"/>
  <c r="R52" i="1"/>
  <c r="R65" i="1"/>
  <c r="Q32" i="1"/>
  <c r="M32" i="1"/>
  <c r="R25" i="1"/>
  <c r="R39" i="1"/>
  <c r="H27" i="1"/>
  <c r="O38" i="1"/>
  <c r="Q24" i="1"/>
  <c r="Q37" i="1"/>
  <c r="H31" i="1"/>
  <c r="Q77" i="1"/>
  <c r="P64" i="1"/>
  <c r="Q62" i="1"/>
  <c r="P12" i="1"/>
  <c r="R53" i="1"/>
  <c r="K31" i="1"/>
  <c r="O36" i="1"/>
  <c r="J27" i="1"/>
  <c r="P43" i="1"/>
  <c r="Q69" i="1"/>
  <c r="Q52" i="1"/>
  <c r="Q39" i="1"/>
  <c r="Q64" i="1"/>
  <c r="Q73" i="1"/>
  <c r="I14" i="1"/>
  <c r="I33" i="1"/>
  <c r="R42" i="1"/>
  <c r="P46" i="1"/>
  <c r="N34" i="1"/>
  <c r="L18" i="1"/>
  <c r="Q70" i="1"/>
  <c r="R72" i="1"/>
  <c r="B22" i="1"/>
  <c r="F31" i="1"/>
  <c r="R56" i="1"/>
  <c r="R22" i="1"/>
  <c r="R51" i="1"/>
  <c r="M25" i="1"/>
  <c r="L31" i="1"/>
  <c r="Q35" i="1"/>
  <c r="L40" i="1"/>
  <c r="F13" i="1"/>
  <c r="R83" i="1"/>
  <c r="H23" i="1"/>
  <c r="R34" i="1"/>
  <c r="M13" i="1"/>
  <c r="R74" i="1"/>
  <c r="N40" i="1"/>
  <c r="P63" i="1"/>
  <c r="L35" i="1"/>
  <c r="R33" i="1"/>
  <c r="J24" i="1"/>
  <c r="N38" i="1"/>
  <c r="R31" i="1"/>
  <c r="D22" i="1"/>
  <c r="P73" i="1"/>
  <c r="P13" i="1"/>
  <c r="Q12" i="1"/>
  <c r="P56" i="1"/>
  <c r="N31" i="1"/>
  <c r="R40" i="1"/>
  <c r="N13" i="1"/>
  <c r="P22" i="1"/>
  <c r="O50" i="1"/>
  <c r="R71" i="1"/>
  <c r="E18" i="1"/>
  <c r="P40" i="1"/>
  <c r="P47" i="1"/>
  <c r="M33" i="1"/>
  <c r="J13" i="1"/>
  <c r="L43" i="1"/>
  <c r="Q36" i="1"/>
  <c r="K34" i="1"/>
  <c r="H22" i="1"/>
  <c r="Q14" i="1"/>
  <c r="Q54" i="1"/>
  <c r="G19" i="1"/>
  <c r="L34" i="1"/>
  <c r="P55" i="1"/>
  <c r="P57" i="1"/>
  <c r="G13" i="1"/>
  <c r="R61" i="1"/>
  <c r="R79" i="1"/>
  <c r="O37" i="1"/>
  <c r="P42" i="1"/>
  <c r="R66" i="1"/>
  <c r="P59" i="1"/>
  <c r="Q66" i="1"/>
  <c r="R46" i="1"/>
  <c r="P37" i="1"/>
  <c r="I13" i="1"/>
  <c r="O24" i="1"/>
  <c r="R75" i="1"/>
  <c r="P38" i="1"/>
  <c r="R73" i="1"/>
  <c r="M43" i="1"/>
  <c r="Q74" i="1"/>
  <c r="O44" i="1"/>
  <c r="R69" i="1"/>
  <c r="K32" i="1"/>
  <c r="N47" i="1"/>
  <c r="P44" i="1"/>
  <c r="O25" i="1"/>
  <c r="O35" i="1"/>
  <c r="L13" i="1"/>
  <c r="M38" i="1"/>
  <c r="K23" i="1"/>
  <c r="N39" i="1"/>
  <c r="P48" i="1"/>
  <c r="Q75" i="1"/>
  <c r="O51" i="1"/>
  <c r="M14" i="1"/>
  <c r="R24" i="1"/>
  <c r="P66" i="1"/>
  <c r="Q41" i="1"/>
  <c r="R60" i="1"/>
  <c r="P33" i="1"/>
  <c r="K14" i="1"/>
  <c r="O43" i="1"/>
  <c r="Q23" i="1"/>
  <c r="N48" i="1"/>
  <c r="Q59" i="1"/>
  <c r="N42" i="1"/>
  <c r="N12" i="1"/>
  <c r="E14" i="1"/>
  <c r="J33" i="1"/>
  <c r="M37" i="1"/>
  <c r="L37" i="1"/>
  <c r="N35" i="1"/>
  <c r="Q85" i="1"/>
  <c r="Q46" i="1"/>
  <c r="P25" i="1"/>
  <c r="N46" i="1"/>
  <c r="O34" i="1"/>
  <c r="R82" i="1"/>
  <c r="G23" i="1"/>
  <c r="E89" i="1"/>
  <c r="Q58" i="1"/>
  <c r="M39" i="1"/>
  <c r="I23" i="1"/>
  <c r="P58" i="1"/>
  <c r="K89" i="1"/>
  <c r="P36" i="1"/>
  <c r="Q55" i="1"/>
  <c r="R47" i="1"/>
  <c r="I31" i="1"/>
  <c r="N24" i="1"/>
  <c r="N27" i="1"/>
  <c r="L42" i="1"/>
  <c r="K12" i="1"/>
  <c r="R18" i="1"/>
  <c r="Q43" i="1"/>
  <c r="R64" i="1"/>
  <c r="R81" i="1"/>
  <c r="C28" i="1"/>
  <c r="R28" i="1"/>
  <c r="H14" i="1"/>
  <c r="Q40" i="1"/>
  <c r="O22" i="1"/>
  <c r="P34" i="1"/>
  <c r="M41" i="1"/>
  <c r="O12" i="1"/>
  <c r="Q25" i="1"/>
  <c r="O41" i="1"/>
  <c r="O23" i="1"/>
  <c r="L41" i="1"/>
  <c r="R54" i="1"/>
  <c r="H33" i="1"/>
  <c r="M31" i="1"/>
  <c r="M24" i="1"/>
  <c r="L14" i="1"/>
  <c r="L38" i="1"/>
  <c r="R86" i="1"/>
  <c r="Q60" i="1"/>
  <c r="J22" i="1"/>
  <c r="Q83" i="1"/>
  <c r="D28" i="1"/>
  <c r="Q22" i="1"/>
  <c r="P69" i="1"/>
  <c r="D18" i="1"/>
  <c r="O39" i="1"/>
  <c r="Q38" i="1"/>
  <c r="L89" i="1"/>
  <c r="P50" i="1"/>
  <c r="N22" i="1"/>
  <c r="P68" i="1"/>
  <c r="R49" i="1"/>
  <c r="P61" i="1"/>
  <c r="N36" i="1"/>
  <c r="K33" i="1"/>
  <c r="I27" i="1"/>
  <c r="Q48" i="1"/>
  <c r="G14" i="1"/>
  <c r="R55" i="1"/>
  <c r="J34" i="1"/>
  <c r="O40" i="1"/>
  <c r="Q65" i="1"/>
  <c r="R70" i="1"/>
  <c r="J23" i="1"/>
  <c r="Q47" i="1"/>
  <c r="Q68" i="1"/>
  <c r="N43" i="1"/>
  <c r="K28" i="1"/>
  <c r="N41" i="1"/>
  <c r="R77" i="1"/>
  <c r="N37" i="1"/>
  <c r="R78" i="1"/>
  <c r="P71" i="1"/>
  <c r="Q45" i="1"/>
  <c r="G12" i="1"/>
  <c r="L36" i="1"/>
  <c r="O45" i="1"/>
  <c r="H12" i="1"/>
  <c r="D89" i="1"/>
  <c r="P51" i="1"/>
  <c r="K39" i="1"/>
  <c r="J31" i="1"/>
  <c r="O33" i="1"/>
  <c r="J25" i="1"/>
  <c r="P35" i="1"/>
  <c r="I32" i="1"/>
  <c r="R67" i="1"/>
  <c r="O53" i="1"/>
  <c r="N33" i="1"/>
  <c r="P67" i="1"/>
  <c r="A22" i="1"/>
  <c r="Q31" i="1"/>
  <c r="P24" i="1"/>
  <c r="Q61" i="1"/>
  <c r="F19" i="1"/>
  <c r="I22" i="1"/>
  <c r="M12" i="1"/>
  <c r="C22" i="1"/>
  <c r="L25" i="1"/>
  <c r="Q53" i="1"/>
  <c r="P60" i="1"/>
  <c r="P54" i="1"/>
  <c r="L28" i="1"/>
  <c r="N25" i="1"/>
  <c r="R63" i="1"/>
  <c r="G31" i="1"/>
  <c r="Q76" i="1"/>
  <c r="O49" i="1"/>
  <c r="Q49" i="1"/>
  <c r="Q80" i="1"/>
  <c r="E13" i="1"/>
  <c r="K38" i="1"/>
  <c r="R38" i="1"/>
  <c r="Q86" i="1"/>
  <c r="Q82" i="1"/>
  <c r="M36" i="1"/>
  <c r="P41" i="1"/>
  <c r="F14" i="1"/>
  <c r="N23" i="1"/>
  <c r="K24" i="1"/>
  <c r="I12" i="1"/>
  <c r="P49" i="1"/>
  <c r="O42" i="1"/>
  <c r="K36" i="1"/>
  <c r="O46" i="1"/>
  <c r="Q18" i="1"/>
  <c r="F22" i="1"/>
  <c r="Q72" i="1"/>
</calcChain>
</file>

<file path=xl/sharedStrings.xml><?xml version="1.0" encoding="utf-8"?>
<sst xmlns="http://schemas.openxmlformats.org/spreadsheetml/2006/main" count="117" uniqueCount="103">
  <si>
    <t>_</t>
  </si>
  <si>
    <t xml:space="preserve"> </t>
  </si>
  <si>
    <t>Stumey-Archer 1902</t>
  </si>
  <si>
    <t>Sturmey-Archer</t>
  </si>
  <si>
    <t>Sturmey-Archer   AM</t>
  </si>
  <si>
    <t>Sturmey-Archer KS</t>
  </si>
  <si>
    <t xml:space="preserve"> m</t>
  </si>
  <si>
    <t>Nuvinci 170/171</t>
  </si>
  <si>
    <t>Nuvinci 360/Harmony</t>
  </si>
  <si>
    <t xml:space="preserve">   Speeddrive:</t>
  </si>
  <si>
    <t>High-speeddrive:</t>
  </si>
  <si>
    <t>Mountaindrive:</t>
  </si>
  <si>
    <t>Pinion 9XR</t>
  </si>
  <si>
    <t>Pinion 9CR</t>
  </si>
  <si>
    <t>Pinion 12</t>
  </si>
  <si>
    <t>Mutaped:</t>
  </si>
  <si>
    <t>Adler:</t>
  </si>
  <si>
    <t>Brennabor/Wanderer:</t>
  </si>
  <si>
    <r>
      <t xml:space="preserve">                       </t>
    </r>
    <r>
      <rPr>
        <b/>
        <sz val="11"/>
        <color indexed="8"/>
        <rFont val="Calibri"/>
        <family val="2"/>
      </rPr>
      <t>Bismarck</t>
    </r>
    <r>
      <rPr>
        <sz val="11"/>
        <color theme="1"/>
        <rFont val="Calibri"/>
        <family val="2"/>
        <scheme val="minor"/>
      </rPr>
      <t>:</t>
    </r>
  </si>
  <si>
    <t>max-   min</t>
  </si>
  <si>
    <t>max-</t>
  </si>
  <si>
    <t>min</t>
  </si>
  <si>
    <t>Sachs/ SRAM T3</t>
  </si>
  <si>
    <t>F&amp;S Doppel Torpedo 1905-1950</t>
  </si>
  <si>
    <t>F&amp;S Duomatic, Automatic, SRAM Automatix</t>
  </si>
  <si>
    <t>Sturmey-Archer  T,TB, TBC, TBF, TBFC</t>
  </si>
  <si>
    <t>Sturmey-Archer  S2 1966</t>
  </si>
  <si>
    <t>Sturmey-Archer TC</t>
  </si>
  <si>
    <t>Sturmey-Archer  S2 2010</t>
  </si>
  <si>
    <t>Bendix redband/yellowband</t>
  </si>
  <si>
    <t>Bendix blueband</t>
  </si>
  <si>
    <t>Shimano 333, F, FA, G</t>
  </si>
  <si>
    <t>Sturmey-Archer  SW</t>
  </si>
  <si>
    <t xml:space="preserve">Sturmey-Archer  AR , AC </t>
  </si>
  <si>
    <t>Sturmey Archer XRF 8, XRD8, XRK8, XRR8</t>
  </si>
  <si>
    <t>Sturmey Archer  Sprinter  7, XR7, AT7, XRD7</t>
  </si>
  <si>
    <t>Sturmey-Archer XRF8W, XRD8W, XRK8W</t>
  </si>
  <si>
    <t>Sturmey Archer S5, S5.1, S5-2, 5-Star, Sprinter 5, XRF5, SRC5</t>
  </si>
  <si>
    <t>Sturmey-Archer SRF5W, XRF5W, S5CW, SEC5W</t>
  </si>
  <si>
    <t xml:space="preserve">AW, K, KB,KT,KBC,KTC, AG,AB, AB/C, AB3, AT3, AWB  </t>
  </si>
  <si>
    <t>Sturmey-Archer S3X (fixed)</t>
  </si>
  <si>
    <t>Sturmey-Archer ASC (fixed)</t>
  </si>
  <si>
    <t>Sturmey-Archer  KSW</t>
  </si>
  <si>
    <t>Shimano AB-100 Automatic</t>
  </si>
  <si>
    <t>This distance is calculated by the size of the tires and the chainwheel(s) and sprocket(s).</t>
  </si>
  <si>
    <t xml:space="preserve">           Tire size:</t>
  </si>
  <si>
    <t xml:space="preserve">   </t>
  </si>
  <si>
    <t xml:space="preserve">Chainwheel(s) FRONT: </t>
  </si>
  <si>
    <t xml:space="preserve">   Start with the largest chainwheel.</t>
  </si>
  <si>
    <t>Now fill in the number(s) of theeth on the chainwheel(s) in front in the orange fields.</t>
  </si>
  <si>
    <t xml:space="preserve">Now fill in the number(s) of the teeth on the sprocket(s); small sprocket(s) first! </t>
  </si>
  <si>
    <t xml:space="preserve">The gearboxes of Pinion have 18, 12, or 9 gears. The chainwheel in front has  24 to 30 teeth.   </t>
  </si>
  <si>
    <t>Older pre-war gearboxes as Rappa:</t>
  </si>
  <si>
    <t>The compression of the reartire under load, will shorten that distance somewhat.</t>
  </si>
  <si>
    <t>So accuracy will be slightly influenced by the tire pressure and weight on the rearwheel.</t>
  </si>
  <si>
    <t>Sachs Elan 12-speed</t>
  </si>
  <si>
    <t>Shimano Alfine 11-speed</t>
  </si>
  <si>
    <t>SRAM i 9-speed</t>
  </si>
  <si>
    <t>SRAM G9-speed</t>
  </si>
  <si>
    <t>SRAM G8-speed</t>
  </si>
  <si>
    <t>Shimano Alfine 8-speed</t>
  </si>
  <si>
    <t>Shimano Nexus 7-speed</t>
  </si>
  <si>
    <t>Sachs Super seven/ SRAM 7-speed</t>
  </si>
  <si>
    <t>Sachs Torpedo 7-speed</t>
  </si>
  <si>
    <t>Sachs Torpedo 5-speed</t>
  </si>
  <si>
    <t>Sachs/ SRAM Spectro P 5-speed</t>
  </si>
  <si>
    <t>Shimano Nexus 5-speed</t>
  </si>
  <si>
    <t>Shimano Nexus 4-speed</t>
  </si>
  <si>
    <t>Sturmey Archer  FW 4-speed</t>
  </si>
  <si>
    <t>Sturmey Archer  AF, FC 4-speed</t>
  </si>
  <si>
    <t>Sturmey Archer  FM 4-speed</t>
  </si>
  <si>
    <t>F&amp;S Universal Torpedo 4-speed 1912</t>
  </si>
  <si>
    <t>F&amp;S Universal  3-speed</t>
  </si>
  <si>
    <t xml:space="preserve">F&amp;S Torpedo mod.25, mod.29 3-speed </t>
  </si>
  <si>
    <t>F&amp;S mod.53, mod.55  3-speed</t>
  </si>
  <si>
    <t>Shimano Inter 3-speed</t>
  </si>
  <si>
    <t>Sturmey-Archer  A, C, F, FX, FN, N, V, X, copy: BSA</t>
  </si>
  <si>
    <t xml:space="preserve">           "  -     "     and the: SAB, S3B, SBR, X-RD3, RX-RD3, XL-RD3, CS-RF3, TS-RC3</t>
  </si>
  <si>
    <r>
      <t>Sturmey-Archer AW-copys: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Brampton, Hercules, NK, Steyr, Suntour</t>
    </r>
  </si>
  <si>
    <t>Sturmey-Archer  for trikes: TS-RC3, TS-RF3</t>
  </si>
  <si>
    <t>Crypto  fronthub/drive combination 1878</t>
  </si>
  <si>
    <t>Schlumpf  FSU fronthub/drive combination 2012</t>
  </si>
  <si>
    <t>The sprocket in the rear has 21 to 26 teeth (so almost 1:1). For the 18-speed the gearsize is:</t>
  </si>
  <si>
    <t>The (in)accuracy of the ETRTO tire-seize can also introduce a small flaw.</t>
  </si>
  <si>
    <t xml:space="preserve">Fill in the ETRTO seize from the tire (something like 23-622) in the orange fields. </t>
  </si>
  <si>
    <t xml:space="preserve">One wheel rotation is : </t>
  </si>
  <si>
    <t>For the continueously variable transmissions of Nuvinci, we show the minimum and maximum gear.</t>
  </si>
  <si>
    <t xml:space="preserve">  --------------------------------------------- BOTTOMBRACKET GEARBOXES----------------------------------------</t>
  </si>
  <si>
    <t>Rohloff 14-speed</t>
  </si>
  <si>
    <t>Sprocket(s)  REAR:</t>
  </si>
  <si>
    <t xml:space="preserve">  -----------------------------------------------------HUBGEARS-----------------------------------------------------------</t>
  </si>
  <si>
    <t>THE GEARSIZE FOR ONE ROTATION OF THE CRANKS</t>
  </si>
  <si>
    <t xml:space="preserve"> www.velofilie.nl</t>
  </si>
  <si>
    <t xml:space="preserve">The Efneo has three gears: </t>
  </si>
  <si>
    <r>
      <t>Classified wireless (</t>
    </r>
    <r>
      <rPr>
        <b/>
        <sz val="11"/>
        <color indexed="8"/>
        <rFont val="Calibri"/>
        <family val="2"/>
      </rPr>
      <t>combined with derailleur!</t>
    </r>
    <r>
      <rPr>
        <sz val="11"/>
        <color theme="1"/>
        <rFont val="Calibri"/>
        <family val="2"/>
        <scheme val="minor"/>
      </rPr>
      <t>)</t>
    </r>
  </si>
  <si>
    <r>
      <t>Sachs Orbit (</t>
    </r>
    <r>
      <rPr>
        <b/>
        <sz val="11"/>
        <color indexed="8"/>
        <rFont val="Calibri"/>
        <family val="2"/>
      </rPr>
      <t>combined with derailleur!</t>
    </r>
    <r>
      <rPr>
        <sz val="11"/>
        <color theme="1"/>
        <rFont val="Calibri"/>
        <family val="2"/>
        <scheme val="minor"/>
      </rPr>
      <t>)</t>
    </r>
  </si>
  <si>
    <r>
      <t xml:space="preserve">F&amp;S 415, 515, Sachs H3102, H21101 enz., SRAM Spectro T3, i-3 , </t>
    </r>
    <r>
      <rPr>
        <b/>
        <sz val="11"/>
        <color indexed="8"/>
        <rFont val="Calibri"/>
        <family val="2"/>
      </rPr>
      <t>3X7 combined with der.!</t>
    </r>
  </si>
  <si>
    <t>Epicyclic gearboxes combined with derailleur: Schlumpf, Efneo or Classified, Sachs Orbit, Spectro 3X7 .</t>
  </si>
  <si>
    <t xml:space="preserve">  --------------------------------------------COMBINED GEARS-----------------------------------------------------------</t>
  </si>
  <si>
    <t xml:space="preserve">  </t>
  </si>
  <si>
    <t xml:space="preserve"> Bottombracket gearboxes can be combined with derailleurs; Schlumpf makes 3 different ones:</t>
  </si>
  <si>
    <t xml:space="preserve">For combination with derailleur, see last chapter. </t>
  </si>
  <si>
    <t>Copy the values of the gearbox in the table above, into the orange blocks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</si>
</sst>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0" applyFont="1"/>
    <xf numFmtId="0" fontId="0" fillId="0" borderId="0" xfId="0" applyFill="1" applyBorder="1"/>
    <xf numFmtId="0" fontId="0" fillId="0" borderId="0" xfId="0" applyBorder="1"/>
    <xf numFmtId="43" fontId="7" fillId="0" borderId="1" xfId="2" applyNumberFormat="1" applyFont="1" applyBorder="1"/>
    <xf numFmtId="2" fontId="7" fillId="0" borderId="1" xfId="0" applyNumberFormat="1" applyFont="1" applyBorder="1"/>
    <xf numFmtId="43" fontId="7" fillId="0" borderId="1" xfId="0" applyNumberFormat="1" applyFont="1" applyBorder="1"/>
    <xf numFmtId="2" fontId="7" fillId="0" borderId="0" xfId="0" applyNumberFormat="1" applyFont="1"/>
    <xf numFmtId="0" fontId="0" fillId="2" borderId="0" xfId="0" applyFill="1"/>
    <xf numFmtId="2" fontId="7" fillId="2" borderId="1" xfId="0" applyNumberFormat="1" applyFont="1" applyFill="1" applyBorder="1"/>
    <xf numFmtId="2" fontId="7" fillId="3" borderId="1" xfId="0" applyNumberFormat="1" applyFont="1" applyFill="1" applyBorder="1"/>
    <xf numFmtId="0" fontId="0" fillId="3" borderId="0" xfId="0" applyFill="1"/>
    <xf numFmtId="2" fontId="7" fillId="2" borderId="0" xfId="0" applyNumberFormat="1" applyFont="1" applyFill="1"/>
    <xf numFmtId="2" fontId="7" fillId="2" borderId="2" xfId="0" applyNumberFormat="1" applyFont="1" applyFill="1" applyBorder="1"/>
    <xf numFmtId="0" fontId="7" fillId="3" borderId="0" xfId="0" applyFont="1" applyFill="1"/>
    <xf numFmtId="0" fontId="0" fillId="4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7" fillId="3" borderId="2" xfId="0" applyNumberFormat="1" applyFont="1" applyFill="1" applyBorder="1"/>
    <xf numFmtId="0" fontId="8" fillId="0" borderId="0" xfId="0" applyFont="1"/>
    <xf numFmtId="0" fontId="9" fillId="0" borderId="0" xfId="0" applyFont="1"/>
    <xf numFmtId="0" fontId="0" fillId="0" borderId="5" xfId="0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8" fillId="0" borderId="8" xfId="0" applyFont="1" applyBorder="1"/>
    <xf numFmtId="0" fontId="9" fillId="0" borderId="8" xfId="0" applyFont="1" applyBorder="1"/>
    <xf numFmtId="0" fontId="0" fillId="0" borderId="8" xfId="0" applyBorder="1"/>
    <xf numFmtId="0" fontId="8" fillId="3" borderId="0" xfId="0" applyFont="1" applyFill="1" applyBorder="1"/>
    <xf numFmtId="0" fontId="9" fillId="3" borderId="0" xfId="0" applyFont="1" applyFill="1" applyBorder="1"/>
    <xf numFmtId="0" fontId="10" fillId="3" borderId="0" xfId="0" applyFont="1" applyFill="1" applyBorder="1"/>
    <xf numFmtId="0" fontId="6" fillId="0" borderId="9" xfId="0" applyFont="1" applyBorder="1"/>
    <xf numFmtId="0" fontId="0" fillId="0" borderId="9" xfId="0" applyBorder="1"/>
    <xf numFmtId="2" fontId="7" fillId="3" borderId="0" xfId="0" applyNumberFormat="1" applyFont="1" applyFill="1"/>
    <xf numFmtId="0" fontId="1" fillId="3" borderId="0" xfId="0" applyFont="1" applyFill="1"/>
    <xf numFmtId="0" fontId="0" fillId="3" borderId="0" xfId="0" applyFont="1" applyFill="1"/>
    <xf numFmtId="0" fontId="0" fillId="3" borderId="9" xfId="0" applyFill="1" applyBorder="1"/>
    <xf numFmtId="0" fontId="6" fillId="3" borderId="0" xfId="0" applyFont="1" applyFill="1"/>
    <xf numFmtId="0" fontId="0" fillId="2" borderId="9" xfId="0" applyFont="1" applyFill="1" applyBorder="1"/>
    <xf numFmtId="0" fontId="0" fillId="2" borderId="9" xfId="0" applyFill="1" applyBorder="1"/>
    <xf numFmtId="0" fontId="11" fillId="3" borderId="0" xfId="0" applyFont="1" applyFill="1"/>
    <xf numFmtId="0" fontId="0" fillId="3" borderId="10" xfId="0" applyFill="1" applyBorder="1"/>
    <xf numFmtId="0" fontId="11" fillId="3" borderId="11" xfId="0" applyFont="1" applyFill="1" applyBorder="1"/>
    <xf numFmtId="0" fontId="11" fillId="3" borderId="0" xfId="0" applyFont="1" applyFill="1" applyBorder="1"/>
    <xf numFmtId="0" fontId="5" fillId="3" borderId="0" xfId="1" applyFill="1"/>
    <xf numFmtId="2" fontId="12" fillId="3" borderId="0" xfId="2" applyNumberFormat="1" applyFont="1" applyFill="1"/>
    <xf numFmtId="0" fontId="6" fillId="3" borderId="0" xfId="0" applyFont="1" applyFill="1" applyAlignment="1">
      <alignment horizontal="center"/>
    </xf>
    <xf numFmtId="0" fontId="0" fillId="2" borderId="1" xfId="0" applyFill="1" applyBorder="1"/>
    <xf numFmtId="0" fontId="6" fillId="0" borderId="12" xfId="0" applyFont="1" applyBorder="1"/>
    <xf numFmtId="0" fontId="6" fillId="0" borderId="7" xfId="0" applyFont="1" applyBorder="1"/>
    <xf numFmtId="0" fontId="6" fillId="0" borderId="6" xfId="0" applyFont="1" applyBorder="1"/>
    <xf numFmtId="0" fontId="0" fillId="0" borderId="13" xfId="0" applyBorder="1"/>
    <xf numFmtId="0" fontId="0" fillId="0" borderId="10" xfId="0" applyBorder="1"/>
    <xf numFmtId="0" fontId="0" fillId="0" borderId="11" xfId="0" applyBorder="1"/>
    <xf numFmtId="43" fontId="7" fillId="0" borderId="0" xfId="2" applyNumberFormat="1" applyFont="1" applyBorder="1"/>
    <xf numFmtId="43" fontId="7" fillId="0" borderId="0" xfId="0" applyNumberFormat="1" applyFont="1" applyBorder="1"/>
    <xf numFmtId="0" fontId="11" fillId="2" borderId="0" xfId="0" applyFont="1" applyFill="1" applyBorder="1"/>
    <xf numFmtId="43" fontId="7" fillId="2" borderId="0" xfId="0" applyNumberFormat="1" applyFont="1" applyFill="1" applyBorder="1"/>
    <xf numFmtId="0" fontId="0" fillId="2" borderId="0" xfId="0" applyFill="1" applyBorder="1"/>
    <xf numFmtId="0" fontId="0" fillId="5" borderId="3" xfId="0" applyFill="1" applyBorder="1" applyProtection="1">
      <protection locked="0"/>
    </xf>
  </cellXfs>
  <cellStyles count="3">
    <cellStyle name="Hyperlink" xfId="1" builtinId="8"/>
    <cellStyle name="Komma" xfId="2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lofilie.nl/versnellin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workbookViewId="0">
      <selection activeCell="G7" sqref="G7"/>
    </sheetView>
  </sheetViews>
  <sheetFormatPr defaultRowHeight="15" x14ac:dyDescent="0.25"/>
  <cols>
    <col min="1" max="1" width="5" customWidth="1"/>
    <col min="2" max="2" width="5.42578125" customWidth="1"/>
    <col min="3" max="3" width="5.7109375" customWidth="1"/>
    <col min="4" max="4" width="5.28515625" customWidth="1"/>
    <col min="5" max="5" width="5.140625" customWidth="1"/>
    <col min="6" max="6" width="5" customWidth="1"/>
    <col min="7" max="7" width="4.85546875" customWidth="1"/>
    <col min="8" max="9" width="5" customWidth="1"/>
    <col min="10" max="10" width="5.28515625" customWidth="1"/>
    <col min="11" max="12" width="5.42578125" customWidth="1"/>
    <col min="13" max="13" width="5.5703125" customWidth="1"/>
    <col min="14" max="15" width="5" customWidth="1"/>
    <col min="16" max="16" width="4.5703125" customWidth="1"/>
    <col min="17" max="17" width="5.140625" customWidth="1"/>
    <col min="18" max="18" width="5.28515625" customWidth="1"/>
  </cols>
  <sheetData>
    <row r="1" spans="1:19" ht="15.75" x14ac:dyDescent="0.25">
      <c r="A1" s="19" t="s">
        <v>91</v>
      </c>
      <c r="B1" s="19"/>
      <c r="C1" s="19"/>
      <c r="D1" s="19"/>
      <c r="E1" s="19"/>
      <c r="F1" s="19"/>
      <c r="G1" s="19"/>
      <c r="H1" s="20"/>
      <c r="I1" s="20"/>
      <c r="J1" s="11"/>
      <c r="K1" s="11"/>
      <c r="L1" s="44" t="s">
        <v>92</v>
      </c>
      <c r="M1" s="11"/>
      <c r="N1" s="11"/>
      <c r="O1" s="44"/>
      <c r="P1" s="11"/>
      <c r="Q1" s="11"/>
      <c r="R1" s="11"/>
      <c r="S1" s="21"/>
    </row>
    <row r="2" spans="1:19" x14ac:dyDescent="0.25">
      <c r="A2" s="11" t="s">
        <v>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1"/>
    </row>
    <row r="3" spans="1:19" x14ac:dyDescent="0.25">
      <c r="A3" s="11" t="s">
        <v>53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1"/>
    </row>
    <row r="4" spans="1:19" x14ac:dyDescent="0.25">
      <c r="A4" s="11" t="s">
        <v>54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1"/>
    </row>
    <row r="5" spans="1:19" x14ac:dyDescent="0.25">
      <c r="A5" s="11" t="s">
        <v>83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1"/>
    </row>
    <row r="6" spans="1:19" ht="15.75" thickBot="1" x14ac:dyDescent="0.3">
      <c r="A6" s="11" t="s">
        <v>84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1"/>
    </row>
    <row r="7" spans="1:19" ht="15.75" thickBot="1" x14ac:dyDescent="0.3">
      <c r="A7" s="37" t="s">
        <v>45</v>
      </c>
      <c r="B7" s="37"/>
      <c r="C7" s="37"/>
      <c r="D7" s="11"/>
      <c r="E7" s="15">
        <v>34</v>
      </c>
      <c r="F7" s="46" t="s">
        <v>0</v>
      </c>
      <c r="G7" s="15">
        <v>622</v>
      </c>
      <c r="H7" s="11" t="s">
        <v>46</v>
      </c>
      <c r="I7" s="11" t="s">
        <v>85</v>
      </c>
      <c r="J7" s="11"/>
      <c r="K7" s="11"/>
      <c r="L7" s="11"/>
      <c r="M7" s="45">
        <f>(2*E7+G7)*0.0031416</f>
        <v>2.1677040000000001</v>
      </c>
      <c r="N7" s="11" t="s">
        <v>6</v>
      </c>
      <c r="O7" s="11"/>
      <c r="P7" s="11"/>
      <c r="Q7" s="11"/>
      <c r="R7" s="11"/>
      <c r="S7" s="21"/>
    </row>
    <row r="8" spans="1:19" ht="15.75" thickBot="1" x14ac:dyDescent="0.3">
      <c r="A8" s="11" t="s">
        <v>49</v>
      </c>
      <c r="B8" s="11"/>
      <c r="C8" s="11"/>
      <c r="D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21"/>
    </row>
    <row r="9" spans="1:19" ht="15.75" thickBot="1" x14ac:dyDescent="0.3">
      <c r="A9" s="11" t="s">
        <v>47</v>
      </c>
      <c r="B9" s="11"/>
      <c r="C9" s="11"/>
      <c r="D9" s="11"/>
      <c r="E9" s="15">
        <v>43</v>
      </c>
      <c r="F9" s="16" t="s">
        <v>1</v>
      </c>
      <c r="G9" s="17" t="s">
        <v>1</v>
      </c>
      <c r="H9" s="11" t="s">
        <v>48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21"/>
    </row>
    <row r="10" spans="1:19" ht="15.75" thickBot="1" x14ac:dyDescent="0.3">
      <c r="A10" t="s">
        <v>50</v>
      </c>
      <c r="F10" s="2"/>
      <c r="J10" s="11"/>
      <c r="K10" s="11"/>
      <c r="L10" s="11"/>
      <c r="M10" s="11"/>
      <c r="N10" s="11"/>
      <c r="O10" s="11"/>
      <c r="P10" s="11"/>
      <c r="Q10" s="11"/>
      <c r="R10" s="11"/>
      <c r="S10" s="21"/>
    </row>
    <row r="11" spans="1:19" ht="15.75" thickBot="1" x14ac:dyDescent="0.3">
      <c r="A11" s="11" t="s">
        <v>89</v>
      </c>
      <c r="B11" s="11"/>
      <c r="C11" s="11"/>
      <c r="D11" s="11"/>
      <c r="E11" s="15">
        <v>13</v>
      </c>
      <c r="F11" s="16">
        <v>15</v>
      </c>
      <c r="G11" s="17">
        <v>17</v>
      </c>
      <c r="H11" s="17">
        <v>20</v>
      </c>
      <c r="I11" s="17">
        <v>23</v>
      </c>
      <c r="J11" s="17">
        <v>26</v>
      </c>
      <c r="K11" s="17" t="s">
        <v>1</v>
      </c>
      <c r="L11" s="17" t="s">
        <v>1</v>
      </c>
      <c r="M11" s="17" t="s">
        <v>1</v>
      </c>
      <c r="N11" s="17" t="s">
        <v>1</v>
      </c>
      <c r="O11" s="17" t="s">
        <v>99</v>
      </c>
      <c r="P11" s="17" t="s">
        <v>1</v>
      </c>
      <c r="Q11" s="17" t="s">
        <v>1</v>
      </c>
      <c r="R11" s="11"/>
      <c r="S11" s="21"/>
    </row>
    <row r="12" spans="1:19" ht="15.75" x14ac:dyDescent="0.25">
      <c r="A12" s="11"/>
      <c r="B12" s="11"/>
      <c r="C12" s="11"/>
      <c r="D12" s="40">
        <f>E9</f>
        <v>43</v>
      </c>
      <c r="E12" s="4">
        <f>M7*E9/E11</f>
        <v>7.1700978461538467</v>
      </c>
      <c r="F12" s="6">
        <f>M7*E9/F11</f>
        <v>6.2140848000000002</v>
      </c>
      <c r="G12" s="6">
        <f>M7*E9/G11</f>
        <v>5.4830160000000001</v>
      </c>
      <c r="H12" s="6">
        <f>M7*E9/H11</f>
        <v>4.6605636000000006</v>
      </c>
      <c r="I12" s="6">
        <f>M7*E9/I11</f>
        <v>4.052664</v>
      </c>
      <c r="J12" s="6">
        <f>M7*E9/J11</f>
        <v>3.5850489230769234</v>
      </c>
      <c r="K12" s="6" t="e">
        <f>M7*E9/K11</f>
        <v>#VALUE!</v>
      </c>
      <c r="L12" s="6" t="e">
        <f>M7*E9/L11</f>
        <v>#VALUE!</v>
      </c>
      <c r="M12" s="6" t="e">
        <f>M7*E9/M11</f>
        <v>#VALUE!</v>
      </c>
      <c r="N12" s="6" t="e">
        <f>M7*E9/N11</f>
        <v>#VALUE!</v>
      </c>
      <c r="O12" s="6" t="e">
        <f>M7*E9/O11</f>
        <v>#VALUE!</v>
      </c>
      <c r="P12" s="6" t="e">
        <f>M7*E9/P11</f>
        <v>#VALUE!</v>
      </c>
      <c r="Q12" s="6" t="e">
        <f>M7*E9/Q11</f>
        <v>#VALUE!</v>
      </c>
      <c r="R12" s="11"/>
      <c r="S12" s="21"/>
    </row>
    <row r="13" spans="1:19" ht="15.75" x14ac:dyDescent="0.25">
      <c r="A13" s="22"/>
      <c r="B13" s="22"/>
      <c r="C13" s="22"/>
      <c r="D13" s="43" t="str">
        <f>F9</f>
        <v xml:space="preserve"> </v>
      </c>
      <c r="E13" s="6" t="e">
        <f>M7*F9/E11</f>
        <v>#VALUE!</v>
      </c>
      <c r="F13" s="6" t="e">
        <f>M7*F9/F11</f>
        <v>#VALUE!</v>
      </c>
      <c r="G13" s="6" t="e">
        <f>M7*F9/G11</f>
        <v>#VALUE!</v>
      </c>
      <c r="H13" s="6" t="e">
        <f>M7*F9/H11</f>
        <v>#VALUE!</v>
      </c>
      <c r="I13" s="6" t="e">
        <f>M7*F9/I11</f>
        <v>#VALUE!</v>
      </c>
      <c r="J13" s="6" t="e">
        <f>M7*F9/J11</f>
        <v>#VALUE!</v>
      </c>
      <c r="K13" s="6" t="e">
        <f>M7*F9/K11</f>
        <v>#VALUE!</v>
      </c>
      <c r="L13" s="6" t="e">
        <f>M7*F9/L11</f>
        <v>#VALUE!</v>
      </c>
      <c r="M13" s="6" t="e">
        <f>M7*F9/M11</f>
        <v>#VALUE!</v>
      </c>
      <c r="N13" s="6" t="e">
        <f>M7*F9/N11</f>
        <v>#VALUE!</v>
      </c>
      <c r="O13" s="6" t="e">
        <f>M7*F9/O11</f>
        <v>#VALUE!</v>
      </c>
      <c r="P13" s="6" t="e">
        <f>M7*F9/P11</f>
        <v>#VALUE!</v>
      </c>
      <c r="Q13" s="6" t="e">
        <f>M7*F9/Q11</f>
        <v>#VALUE!</v>
      </c>
      <c r="R13" s="11"/>
      <c r="S13" s="21"/>
    </row>
    <row r="14" spans="1:19" ht="15.75" x14ac:dyDescent="0.25">
      <c r="A14" s="41"/>
      <c r="B14" s="36"/>
      <c r="C14" s="36"/>
      <c r="D14" s="42" t="str">
        <f>G9</f>
        <v xml:space="preserve"> </v>
      </c>
      <c r="E14" s="6" t="e">
        <f>G9*M7/E11</f>
        <v>#VALUE!</v>
      </c>
      <c r="F14" s="6" t="e">
        <f>G9*M7/F11</f>
        <v>#VALUE!</v>
      </c>
      <c r="G14" s="6" t="e">
        <f>G9*M7/G11</f>
        <v>#VALUE!</v>
      </c>
      <c r="H14" s="6" t="e">
        <f>G9*M7/H11</f>
        <v>#VALUE!</v>
      </c>
      <c r="I14" s="6" t="e">
        <f>G9*M7/I11</f>
        <v>#VALUE!</v>
      </c>
      <c r="J14" s="6" t="e">
        <f>G9*M7/J11</f>
        <v>#VALUE!</v>
      </c>
      <c r="K14" s="6" t="e">
        <f>G9*M7/K11</f>
        <v>#VALUE!</v>
      </c>
      <c r="L14" s="6" t="e">
        <f>G9*M7/L11</f>
        <v>#VALUE!</v>
      </c>
      <c r="M14" s="6" t="e">
        <f>G9*M7/M11</f>
        <v>#VALUE!</v>
      </c>
      <c r="N14" s="6" t="e">
        <f>G9*M7/N11</f>
        <v>#VALUE!</v>
      </c>
      <c r="O14" s="6" t="e">
        <f>G9*M7/O11</f>
        <v>#VALUE!</v>
      </c>
      <c r="P14" s="6" t="e">
        <f>G9*M7/P11</f>
        <v>#VALUE!</v>
      </c>
      <c r="Q14" s="6" t="e">
        <f>G9*M7/Q11</f>
        <v>#VALUE!</v>
      </c>
      <c r="R14" s="41"/>
      <c r="S14" s="21"/>
    </row>
    <row r="15" spans="1:19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3"/>
    </row>
    <row r="16" spans="1:19" ht="16.5" thickBot="1" x14ac:dyDescent="0.3">
      <c r="A16" s="25" t="s">
        <v>87</v>
      </c>
      <c r="B16" s="26"/>
      <c r="C16" s="26"/>
      <c r="D16" s="26"/>
      <c r="E16" s="26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1"/>
    </row>
    <row r="17" spans="1:24" ht="15.75" thickTop="1" x14ac:dyDescent="0.25">
      <c r="A17" s="37" t="s">
        <v>100</v>
      </c>
      <c r="B17" s="11"/>
      <c r="C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21"/>
    </row>
    <row r="18" spans="1:24" x14ac:dyDescent="0.25">
      <c r="A18" s="35" t="s">
        <v>9</v>
      </c>
      <c r="B18" s="11"/>
      <c r="C18" s="11"/>
      <c r="D18" s="9">
        <f>M7*E9/E11*1.65</f>
        <v>11.830661446153847</v>
      </c>
      <c r="E18" s="9">
        <f>M7*E9/E11*1</f>
        <v>7.1700978461538467</v>
      </c>
      <c r="F18" s="11"/>
      <c r="G18" s="11" t="s">
        <v>10</v>
      </c>
      <c r="H18" s="11"/>
      <c r="I18" s="11"/>
      <c r="J18" s="11"/>
      <c r="K18" s="9">
        <f>M7*E9/E11*2.5</f>
        <v>17.925244615384617</v>
      </c>
      <c r="L18" s="9">
        <f>M7*E9/E11</f>
        <v>7.1700978461538467</v>
      </c>
      <c r="M18" s="11"/>
      <c r="N18" t="s">
        <v>11</v>
      </c>
      <c r="Q18" s="9">
        <f>M7*E9/E11*1</f>
        <v>7.1700978461538467</v>
      </c>
      <c r="R18" s="9">
        <f>M7*E9/E11*0.4</f>
        <v>2.8680391384615387</v>
      </c>
    </row>
    <row r="19" spans="1:24" x14ac:dyDescent="0.25">
      <c r="A19" s="37" t="s">
        <v>93</v>
      </c>
      <c r="B19" s="11"/>
      <c r="C19" s="11"/>
      <c r="D19" s="11"/>
      <c r="E19" s="11"/>
      <c r="F19" s="47">
        <f>M7*E9/E11*1.79</f>
        <v>12.834475144615386</v>
      </c>
      <c r="G19" s="47">
        <f>M7*E9/E11*1.43</f>
        <v>10.25323992</v>
      </c>
      <c r="H19" s="47">
        <f>M7*E9/E11*1</f>
        <v>7.1700978461538467</v>
      </c>
      <c r="J19" s="37" t="s">
        <v>101</v>
      </c>
      <c r="K19" s="11"/>
      <c r="L19" s="11"/>
      <c r="M19" s="11"/>
      <c r="N19" s="11"/>
      <c r="O19" s="11"/>
      <c r="P19" s="11"/>
      <c r="Q19" s="11"/>
      <c r="S19" s="21"/>
    </row>
    <row r="20" spans="1:24" x14ac:dyDescent="0.25">
      <c r="A20" s="1" t="s">
        <v>51</v>
      </c>
      <c r="P20" s="11"/>
      <c r="Q20" s="11"/>
      <c r="R20" s="11"/>
      <c r="S20" s="21"/>
    </row>
    <row r="21" spans="1:24" x14ac:dyDescent="0.25">
      <c r="A21" s="1" t="s">
        <v>82</v>
      </c>
      <c r="P21" s="11"/>
      <c r="Q21" s="11"/>
      <c r="R21" s="11"/>
      <c r="S21" s="21"/>
    </row>
    <row r="22" spans="1:24" x14ac:dyDescent="0.25">
      <c r="A22" s="9">
        <f>M7*E9/E11*3.448</f>
        <v>24.722497373538463</v>
      </c>
      <c r="B22" s="9">
        <f>M7*E9/E11*3.125</f>
        <v>22.406555769230771</v>
      </c>
      <c r="C22" s="9">
        <f>M7*E9/E11*2.778</f>
        <v>19.918531816615385</v>
      </c>
      <c r="D22" s="9">
        <f>M7*E9/E11*2.5</f>
        <v>17.925244615384617</v>
      </c>
      <c r="E22" s="9">
        <f>M7*E9/E11*2.273</f>
        <v>16.297632404307695</v>
      </c>
      <c r="F22" s="9">
        <f>M7*E9/E11*2.041</f>
        <v>14.634169704000001</v>
      </c>
      <c r="G22" s="9">
        <f>M7*E9/E11*1.818</f>
        <v>13.035237884307694</v>
      </c>
      <c r="H22" s="9">
        <f>M7*E9/E11*1.613</f>
        <v>11.565367825846154</v>
      </c>
      <c r="I22" s="9">
        <f>M7*E9/E11*1.449</f>
        <v>10.389471779076924</v>
      </c>
      <c r="J22" s="9">
        <f>M7*E9/E11*1.316</f>
        <v>9.4358487655384629</v>
      </c>
      <c r="K22" s="9">
        <f>M7*E9/E11*1.176</f>
        <v>8.4320350670769226</v>
      </c>
      <c r="L22" s="9">
        <f>M7*E9/E11*1.053</f>
        <v>7.5501130320000005</v>
      </c>
      <c r="M22" s="9">
        <f>M7*E9/E11*0.943</f>
        <v>6.7614022689230771</v>
      </c>
      <c r="N22" s="9">
        <f>M7*E9/E11*0.84</f>
        <v>6.0228821907692307</v>
      </c>
      <c r="O22" s="9">
        <f>M7*E9/E11*0.758</f>
        <v>5.4349341673846157</v>
      </c>
      <c r="P22" s="9">
        <f>M7*E9/E11*0.68</f>
        <v>4.8756665353846165</v>
      </c>
      <c r="Q22" s="9">
        <f>M7*E9/E11*0.6135</f>
        <v>4.3988550286153849</v>
      </c>
      <c r="R22" s="9">
        <f>M7*E9/E11*0.549</f>
        <v>3.9363837175384622</v>
      </c>
    </row>
    <row r="23" spans="1:24" x14ac:dyDescent="0.25">
      <c r="A23" t="s">
        <v>14</v>
      </c>
      <c r="C23" s="11"/>
      <c r="D23" s="11"/>
      <c r="E23" s="11"/>
      <c r="G23" s="5">
        <f>M7*E9/E11*3.333</f>
        <v>23.897936121230771</v>
      </c>
      <c r="H23" s="5">
        <f>M7*E9/E11*2.778</f>
        <v>19.918531816615385</v>
      </c>
      <c r="I23" s="5">
        <f>M7*E9/E11*2.381</f>
        <v>17.072002971692307</v>
      </c>
      <c r="J23" s="5">
        <f>M7*E9/E11*2.041</f>
        <v>14.634169704000001</v>
      </c>
      <c r="K23" s="5">
        <f>M7*E9/E11*1.724</f>
        <v>12.361248686769231</v>
      </c>
      <c r="L23" s="5">
        <f>M7*E9/E11*0.81*1.449</f>
        <v>8.4154721410523106</v>
      </c>
      <c r="M23" s="5">
        <f>M7*E9/E11*1.235</f>
        <v>8.8550708400000016</v>
      </c>
      <c r="N23" s="5">
        <f>M7*E9/E11*1.053</f>
        <v>7.5501130320000005</v>
      </c>
      <c r="O23" s="5">
        <f>M7*E9/E11*0.893</f>
        <v>6.4028973766153854</v>
      </c>
      <c r="P23" s="5">
        <f>M7*E9/E11*0.758</f>
        <v>5.4349341673846157</v>
      </c>
      <c r="Q23" s="5">
        <f>M7*E9/E11*0.662</f>
        <v>4.7466047741538464</v>
      </c>
      <c r="R23" s="5">
        <f>M7*E9/E11*0.549</f>
        <v>3.9363837175384622</v>
      </c>
      <c r="X23" t="s">
        <v>1</v>
      </c>
    </row>
    <row r="24" spans="1:24" x14ac:dyDescent="0.25">
      <c r="A24" s="8" t="s">
        <v>12</v>
      </c>
      <c r="B24" s="8"/>
      <c r="C24" s="8"/>
      <c r="D24" s="8"/>
      <c r="E24" s="8"/>
      <c r="F24" s="8"/>
      <c r="G24" s="8"/>
      <c r="H24" s="8"/>
      <c r="I24" s="8"/>
      <c r="J24" s="9">
        <f>M7*E9/E11*3.125</f>
        <v>22.406555769230771</v>
      </c>
      <c r="K24" s="9">
        <f>M7*E9/E11*2.5</f>
        <v>17.925244615384617</v>
      </c>
      <c r="L24" s="9">
        <f>M7*E9/E11*2.041</f>
        <v>14.634169704000001</v>
      </c>
      <c r="M24" s="9">
        <f>M7*E9/E11*1.613</f>
        <v>11.565367825846154</v>
      </c>
      <c r="N24" s="9">
        <f>M7*E9/E11*1.316</f>
        <v>9.4358487655384629</v>
      </c>
      <c r="O24" s="9">
        <f>M7*E9/E11*1.053</f>
        <v>7.5501130320000005</v>
      </c>
      <c r="P24" s="9">
        <f>M7*E9/E11*0.84</f>
        <v>6.0228821907692307</v>
      </c>
      <c r="Q24" s="9">
        <f>M7*E9/E11*0.68</f>
        <v>4.8756665353846165</v>
      </c>
      <c r="R24" s="9">
        <f>M7*E9/E11*0.549</f>
        <v>3.9363837175384622</v>
      </c>
    </row>
    <row r="25" spans="1:24" x14ac:dyDescent="0.25">
      <c r="A25" t="s">
        <v>13</v>
      </c>
      <c r="C25" s="11"/>
      <c r="D25" s="11"/>
      <c r="E25" s="11"/>
      <c r="F25" s="11"/>
      <c r="G25" s="11"/>
      <c r="H25" s="11"/>
      <c r="I25" s="11"/>
      <c r="J25" s="10">
        <f>M7*E9/E11*2.778</f>
        <v>19.918531816615385</v>
      </c>
      <c r="K25" s="10">
        <f>M7*E9/E11*2.381</f>
        <v>17.072002971692307</v>
      </c>
      <c r="L25" s="10">
        <f>M7*E9/E11*2.041</f>
        <v>14.634169704000001</v>
      </c>
      <c r="M25" s="10">
        <f>M7*E9/E11*1.695</f>
        <v>12.15331584923077</v>
      </c>
      <c r="N25" s="10">
        <f>M7*E9/E11*1.449</f>
        <v>10.389471779076924</v>
      </c>
      <c r="O25" s="10">
        <f>M7*E9/E11*1.235</f>
        <v>8.8550708400000016</v>
      </c>
      <c r="P25" s="10">
        <f>M7*E9/E11*1.053</f>
        <v>7.5501130320000005</v>
      </c>
      <c r="Q25" s="10">
        <f>M7*E9/E11*0.901</f>
        <v>6.4602581593846162</v>
      </c>
      <c r="R25" s="10">
        <f>M7*E9/E11*0.769</f>
        <v>5.5138052436923086</v>
      </c>
    </row>
    <row r="26" spans="1:2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21"/>
    </row>
    <row r="27" spans="1:24" x14ac:dyDescent="0.25">
      <c r="A27" s="1" t="s">
        <v>52</v>
      </c>
      <c r="G27" s="9">
        <f>M7*E9/E11*1.36</f>
        <v>9.7513330707692329</v>
      </c>
      <c r="H27" s="9">
        <f>M7*E9/E11*1.06</f>
        <v>7.6003037169230776</v>
      </c>
      <c r="I27" s="9">
        <f>M7*E9/E11*0.78</f>
        <v>5.5926763200000007</v>
      </c>
      <c r="J27" s="9">
        <f>M7*E9/E11*0.63</f>
        <v>4.517161643076923</v>
      </c>
      <c r="L27" s="1" t="s">
        <v>15</v>
      </c>
      <c r="N27" s="9">
        <f>M7*E9/E11*1.23</f>
        <v>8.8192203507692319</v>
      </c>
      <c r="O27" s="9">
        <f>M7*E9/E11*1</f>
        <v>7.1700978461538467</v>
      </c>
      <c r="P27" s="9">
        <f>M7*E9/E11*0.77</f>
        <v>5.5209753415384624</v>
      </c>
      <c r="Q27" s="11"/>
      <c r="R27" s="11"/>
      <c r="S27" s="21"/>
    </row>
    <row r="28" spans="1:24" x14ac:dyDescent="0.25">
      <c r="A28" s="31" t="s">
        <v>16</v>
      </c>
      <c r="B28" s="32"/>
      <c r="C28" s="9">
        <f>M7*E9/E11*1.17</f>
        <v>8.3890144800000002</v>
      </c>
      <c r="D28" s="9">
        <f>M7*E9/E11</f>
        <v>7.1700978461538467</v>
      </c>
      <c r="E28" s="9">
        <f>M7*E9/E11*0.8</f>
        <v>5.7360782769230774</v>
      </c>
      <c r="F28" s="32"/>
      <c r="G28" s="31" t="s">
        <v>17</v>
      </c>
      <c r="H28" s="32"/>
      <c r="I28" s="32"/>
      <c r="J28" s="32"/>
      <c r="K28" s="9">
        <f>M7*E9/E11</f>
        <v>7.1700978461538467</v>
      </c>
      <c r="L28" s="9">
        <f>M7*E9/E11*0.77</f>
        <v>5.5209753415384624</v>
      </c>
      <c r="M28" s="32" t="s">
        <v>18</v>
      </c>
      <c r="N28" s="32"/>
      <c r="O28" s="32"/>
      <c r="P28" s="32"/>
      <c r="Q28" s="9">
        <f>M7*E9/E11</f>
        <v>7.1700978461538467</v>
      </c>
      <c r="R28" s="9">
        <f>M7*E9/E11*0.71</f>
        <v>5.0907694707692306</v>
      </c>
    </row>
    <row r="29" spans="1:24" ht="15.75" x14ac:dyDescent="0.25">
      <c r="A29" s="28"/>
      <c r="B29" s="28"/>
      <c r="C29" s="29"/>
      <c r="D29" s="22"/>
      <c r="E29" s="30"/>
      <c r="F29" s="30"/>
      <c r="G29" s="30"/>
      <c r="H29" s="30"/>
      <c r="I29" s="30"/>
      <c r="J29" s="30"/>
      <c r="K29" s="30"/>
      <c r="L29" s="30"/>
      <c r="M29" s="30"/>
      <c r="N29" s="22"/>
      <c r="O29" s="22"/>
      <c r="P29" s="22"/>
      <c r="Q29" s="22"/>
      <c r="R29" s="22"/>
      <c r="S29" s="21"/>
    </row>
    <row r="30" spans="1:24" ht="16.5" thickBot="1" x14ac:dyDescent="0.3">
      <c r="A30" s="25" t="s">
        <v>90</v>
      </c>
      <c r="B30" s="26"/>
      <c r="C30" s="26"/>
      <c r="D30" s="26"/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1"/>
    </row>
    <row r="31" spans="1:24" ht="15.75" thickTop="1" x14ac:dyDescent="0.25">
      <c r="A31" s="8" t="s">
        <v>88</v>
      </c>
      <c r="B31" s="8"/>
      <c r="C31" s="8"/>
      <c r="D31" s="8"/>
      <c r="E31" s="13">
        <f>M7*E9/E11*1.467</f>
        <v>10.518533540307693</v>
      </c>
      <c r="F31" s="13">
        <f>M7*E9/E11*1.292</f>
        <v>9.2637664172307694</v>
      </c>
      <c r="G31" s="13">
        <f>M7*E9/E11*1.135</f>
        <v>8.1380610553846164</v>
      </c>
      <c r="H31" s="13">
        <f>M7*E9/E11*1</f>
        <v>7.1700978461538467</v>
      </c>
      <c r="I31" s="13">
        <f>M7*E9/E11*0.881</f>
        <v>6.3168562024615387</v>
      </c>
      <c r="J31" s="13">
        <f>M7*E9/E11*0.774</f>
        <v>5.5496557329230773</v>
      </c>
      <c r="K31" s="13">
        <f>M7*E9/E11*0.682</f>
        <v>4.890006731076924</v>
      </c>
      <c r="L31" s="13">
        <f>M7*E9/E11*0.599</f>
        <v>4.2948886098461543</v>
      </c>
      <c r="M31" s="13">
        <f>M7*E9/E11*0.528</f>
        <v>3.7858116627692313</v>
      </c>
      <c r="N31" s="13">
        <f>M7*E9/E11*0.464</f>
        <v>3.326925400615385</v>
      </c>
      <c r="O31" s="13">
        <f>M7*E9/E11*0.409</f>
        <v>2.9325700190769233</v>
      </c>
      <c r="P31" s="13">
        <f>M7*E9/E11*0.36</f>
        <v>2.5812352246153849</v>
      </c>
      <c r="Q31" s="13">
        <f>M7*E9/E11*0.316</f>
        <v>2.2657509193846157</v>
      </c>
      <c r="R31" s="13">
        <f>M7*E9/E11*0.279</f>
        <v>2.0004572990769236</v>
      </c>
    </row>
    <row r="32" spans="1:24" x14ac:dyDescent="0.25">
      <c r="A32" t="s">
        <v>55</v>
      </c>
      <c r="C32" s="3"/>
      <c r="D32" s="22"/>
      <c r="E32" s="11"/>
      <c r="F32" s="11"/>
      <c r="G32" s="5">
        <f>M7*E9/E11*2.364</f>
        <v>16.950111308307694</v>
      </c>
      <c r="H32" s="5">
        <f>M7*E9/E11*2.217</f>
        <v>15.896106924923078</v>
      </c>
      <c r="I32" s="5">
        <f>M7*E9/E11*2.061</f>
        <v>14.777571660923078</v>
      </c>
      <c r="J32" s="5">
        <f>M7*E9/E11*1.915</f>
        <v>13.730737375384617</v>
      </c>
      <c r="K32" s="5">
        <f>M7*E9/E11*1.766</f>
        <v>12.662392796307694</v>
      </c>
      <c r="L32" s="5">
        <f>M7*E9/E11*1.612</f>
        <v>11.558197728000001</v>
      </c>
      <c r="M32" s="5">
        <f>M7*E9/E11*1.481</f>
        <v>10.618914910153848</v>
      </c>
      <c r="N32" s="7">
        <f>M7*E9/E11*1.33</f>
        <v>9.5362301353846171</v>
      </c>
      <c r="O32" s="5">
        <f>M7*E9/E11*1.179</f>
        <v>8.4535453606153848</v>
      </c>
      <c r="P32" s="5">
        <f>M7*E9/E11*1</f>
        <v>7.1700978461538467</v>
      </c>
      <c r="Q32" s="5">
        <f>M7*E9/E11*0.851</f>
        <v>6.1017532670769237</v>
      </c>
      <c r="R32" s="5">
        <f>M7*E9/E11*0.697</f>
        <v>4.997558198769231</v>
      </c>
    </row>
    <row r="33" spans="1:18" x14ac:dyDescent="0.25">
      <c r="A33" s="8" t="s">
        <v>56</v>
      </c>
      <c r="B33" s="8"/>
      <c r="C33" s="8"/>
      <c r="D33" s="8"/>
      <c r="E33" s="8"/>
      <c r="F33" s="8"/>
      <c r="G33" s="8"/>
      <c r="H33" s="9">
        <f>M7*E9/E11*2.153</f>
        <v>15.437220662769231</v>
      </c>
      <c r="I33" s="9">
        <f>M7*E9/E11*1.888</f>
        <v>13.537144733538462</v>
      </c>
      <c r="J33" s="9">
        <f>M7*E9/E11*1.667</f>
        <v>11.952553109538464</v>
      </c>
      <c r="K33" s="9">
        <f>M7*E9/E11*1.462</f>
        <v>10.482683051076924</v>
      </c>
      <c r="L33" s="9">
        <f>M7*E9/E11*1.292</f>
        <v>9.2637664172307694</v>
      </c>
      <c r="M33" s="9">
        <f>M7*E9/E11*1.1134</f>
        <v>7.9831869419076922</v>
      </c>
      <c r="N33" s="9">
        <f>M7*E9/E11*0.995</f>
        <v>7.1342473569230771</v>
      </c>
      <c r="O33" s="9">
        <f>M7*E9/E11*0.878</f>
        <v>6.2953459089230774</v>
      </c>
      <c r="P33" s="9">
        <f>M7*E9/E11*0.77</f>
        <v>5.5209753415384624</v>
      </c>
      <c r="Q33" s="9">
        <f>M7*E9/E11*0.681</f>
        <v>4.8828366332307702</v>
      </c>
      <c r="R33" s="9">
        <f>M7*E9/E11*0.527</f>
        <v>3.7786415649230776</v>
      </c>
    </row>
    <row r="34" spans="1:18" x14ac:dyDescent="0.25">
      <c r="A34" t="s">
        <v>57</v>
      </c>
      <c r="D34" s="11"/>
      <c r="E34" s="11"/>
      <c r="F34" s="11"/>
      <c r="G34" s="11"/>
      <c r="H34" s="11"/>
      <c r="I34" s="11"/>
      <c r="J34" s="5">
        <f>M7*E9/E11*1.846</f>
        <v>13.236000624000001</v>
      </c>
      <c r="K34" s="5">
        <f>M7*E9/E11*1.611</f>
        <v>11.551027630153847</v>
      </c>
      <c r="L34" s="5">
        <f>M7*E9/E11*1.375</f>
        <v>9.85888453846154</v>
      </c>
      <c r="M34" s="5">
        <f>M7*E9/E11*1.172</f>
        <v>8.4033546756923077</v>
      </c>
      <c r="N34" s="5">
        <f>M7*E9/E11*1</f>
        <v>7.1700978461538467</v>
      </c>
      <c r="O34" s="5">
        <f>M7*E9/E11*0.853</f>
        <v>6.1160934627692312</v>
      </c>
      <c r="P34" s="5">
        <f>M7*E9/E11*0.727</f>
        <v>5.212661134153846</v>
      </c>
      <c r="Q34" s="5">
        <f>M7*E9/E11*0.621</f>
        <v>4.4526307624615384</v>
      </c>
      <c r="R34" s="5">
        <f>M7*E9/E11*0.542</f>
        <v>3.8861930326153851</v>
      </c>
    </row>
    <row r="35" spans="1:18" x14ac:dyDescent="0.25">
      <c r="A35" s="8" t="s">
        <v>58</v>
      </c>
      <c r="B35" s="8"/>
      <c r="C35" s="8"/>
      <c r="D35" s="8"/>
      <c r="E35" s="8"/>
      <c r="F35" s="8"/>
      <c r="G35" s="8"/>
      <c r="H35" s="8"/>
      <c r="I35" s="8"/>
      <c r="J35" s="9">
        <f>M7*E9/E11*1.58</f>
        <v>11.328754596923078</v>
      </c>
      <c r="K35" s="9">
        <f>M7*E9/E11*1.36</f>
        <v>9.7513330707692329</v>
      </c>
      <c r="L35" s="9">
        <f>M7*E9/E11*1.2</f>
        <v>8.6041174153846161</v>
      </c>
      <c r="M35" s="9">
        <f>M7*E9/E11*1.05</f>
        <v>7.5286027384615393</v>
      </c>
      <c r="N35" s="9">
        <f>M7*E9/E11*0.9</f>
        <v>6.4530880615384625</v>
      </c>
      <c r="O35" s="9">
        <f>M7*E9/E11*0.8</f>
        <v>5.7360782769230774</v>
      </c>
      <c r="P35" s="9">
        <f>M7*E9/E11*0.71</f>
        <v>5.0907694707692306</v>
      </c>
      <c r="Q35" s="9">
        <f>M7*E9/E11*0.61</f>
        <v>4.3737596861538464</v>
      </c>
      <c r="R35" s="9">
        <f>M7*E9/E11*0.54</f>
        <v>3.8718528369230776</v>
      </c>
    </row>
    <row r="36" spans="1:18" x14ac:dyDescent="0.25">
      <c r="A36" t="s">
        <v>59</v>
      </c>
      <c r="D36" s="11"/>
      <c r="E36" s="11"/>
      <c r="F36" s="11"/>
      <c r="G36" s="11"/>
      <c r="H36" s="33"/>
      <c r="I36" s="11"/>
      <c r="K36" s="5">
        <f>M7*E9/E11*1.58</f>
        <v>11.328754596923078</v>
      </c>
      <c r="L36" s="5">
        <f>M7*E9/E11*1.36</f>
        <v>9.7513330707692329</v>
      </c>
      <c r="M36" s="5">
        <f>M7*E9/E11*1.2</f>
        <v>8.6041174153846161</v>
      </c>
      <c r="N36" s="5">
        <f>M7*E9/E11*1.05</f>
        <v>7.5286027384615393</v>
      </c>
      <c r="O36" s="5">
        <f>M7*E9/E11*0.9</f>
        <v>6.4530880615384625</v>
      </c>
      <c r="P36" s="5">
        <f>M7*E9/E11*0.8</f>
        <v>5.7360782769230774</v>
      </c>
      <c r="Q36" s="5">
        <f>M7*E9/E11*0.71</f>
        <v>5.0907694707692306</v>
      </c>
      <c r="R36" s="5">
        <f>M7*E9/E11*0.61</f>
        <v>4.3737596861538464</v>
      </c>
    </row>
    <row r="37" spans="1:18" x14ac:dyDescent="0.25">
      <c r="A37" s="8" t="s">
        <v>60</v>
      </c>
      <c r="B37" s="8"/>
      <c r="C37" s="8"/>
      <c r="D37" s="8"/>
      <c r="E37" s="8"/>
      <c r="F37" s="8"/>
      <c r="G37" s="8"/>
      <c r="H37" s="8"/>
      <c r="I37" s="8"/>
      <c r="J37" s="8"/>
      <c r="K37" s="9">
        <f>M7*E9/E11*1.615</f>
        <v>11.579708021538462</v>
      </c>
      <c r="L37" s="9">
        <f>M7*E9/E11*1.419</f>
        <v>10.174368843692308</v>
      </c>
      <c r="M37" s="9">
        <f>M7*E9/E11*1.223</f>
        <v>8.7690296658461548</v>
      </c>
      <c r="N37" s="9">
        <f>M7*E9/E11*1</f>
        <v>7.1700978461538467</v>
      </c>
      <c r="O37" s="9">
        <f>M7*E9/E11*0.851</f>
        <v>6.1017532670769237</v>
      </c>
      <c r="P37" s="9">
        <f>M7*E9/E11*0.727</f>
        <v>5.212661134153846</v>
      </c>
      <c r="Q37" s="9">
        <f>M7*E9/E11*0.664</f>
        <v>4.7609449698461548</v>
      </c>
      <c r="R37" s="9">
        <f>M7*E9/E11*0.527</f>
        <v>3.7786415649230776</v>
      </c>
    </row>
    <row r="38" spans="1:18" x14ac:dyDescent="0.25">
      <c r="A38" t="s">
        <v>34</v>
      </c>
      <c r="H38" s="11"/>
      <c r="I38" s="11"/>
      <c r="K38" s="5">
        <f>M7*E9/E11*3.054</f>
        <v>21.897478822153847</v>
      </c>
      <c r="L38" s="5">
        <f>M7*E9/E11*2.384</f>
        <v>17.093513265230769</v>
      </c>
      <c r="M38" s="5">
        <f>M7*E9/E11*2.106</f>
        <v>15.100226064000001</v>
      </c>
      <c r="N38" s="5">
        <f>M7*E9/E11*1.858</f>
        <v>13.322041798153847</v>
      </c>
      <c r="O38" s="5">
        <f>M7*E9/E11*1.644</f>
        <v>11.787640859076923</v>
      </c>
      <c r="P38" s="5">
        <f>M7*E9/E11*1.45</f>
        <v>10.396641876923077</v>
      </c>
      <c r="Q38" s="5">
        <f>M7*E9/E11*1.281</f>
        <v>9.1848953409230774</v>
      </c>
      <c r="R38" s="5">
        <f>M7*E9/E11*1</f>
        <v>7.1700978461538467</v>
      </c>
    </row>
    <row r="39" spans="1:18" x14ac:dyDescent="0.25">
      <c r="A39" s="8" t="s">
        <v>36</v>
      </c>
      <c r="B39" s="8"/>
      <c r="C39" s="8"/>
      <c r="D39" s="8"/>
      <c r="E39" s="8"/>
      <c r="F39" s="8"/>
      <c r="G39" s="8"/>
      <c r="H39" s="8"/>
      <c r="I39" s="8"/>
      <c r="J39" s="8"/>
      <c r="K39" s="9">
        <f>M7*E9/E11*3.24</f>
        <v>23.231117021538466</v>
      </c>
      <c r="L39" s="9">
        <f>M7*E9/E11*2.49</f>
        <v>17.853543636923082</v>
      </c>
      <c r="M39" s="9">
        <f>M7*E9/E11*2.19</f>
        <v>15.702514283076924</v>
      </c>
      <c r="N39" s="9">
        <f>M7*E9/E11*1.93</f>
        <v>13.838288843076924</v>
      </c>
      <c r="O39" s="9">
        <f>M7*E9/E11*1.68</f>
        <v>12.045764381538461</v>
      </c>
      <c r="P39" s="9">
        <f>M7*E9/E11*1.48</f>
        <v>10.611744812307693</v>
      </c>
      <c r="Q39" s="9">
        <f>M7*E9/E11*1.3</f>
        <v>9.3211272000000012</v>
      </c>
      <c r="R39" s="9">
        <f>M7*E9/E11</f>
        <v>7.1700978461538467</v>
      </c>
    </row>
    <row r="40" spans="1:18" x14ac:dyDescent="0.25">
      <c r="A40" s="11" t="s">
        <v>61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8">
        <f>M7*E9/E11*1.545</f>
        <v>11.077801172307693</v>
      </c>
      <c r="M40" s="18">
        <f>M7*E9/E11*1.335</f>
        <v>9.5720806246153849</v>
      </c>
      <c r="N40" s="18">
        <f>M7*E9/E11*1.145</f>
        <v>8.2097620338461539</v>
      </c>
      <c r="O40" s="18">
        <f>M7*E9/E11*0.989</f>
        <v>7.0912267698461546</v>
      </c>
      <c r="P40" s="18">
        <f>M7*E9/E11*0.843</f>
        <v>6.0443924843076928</v>
      </c>
      <c r="Q40" s="18">
        <f>M7*E9/E11*0.741</f>
        <v>5.3130425040000002</v>
      </c>
      <c r="R40" s="18">
        <f>M7*E9/E11*0.632</f>
        <v>4.5315018387692314</v>
      </c>
    </row>
    <row r="41" spans="1:18" x14ac:dyDescent="0.25">
      <c r="A41" s="8" t="s">
        <v>62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9">
        <f>M7*E9/E11*1.742</f>
        <v>12.490310448000001</v>
      </c>
      <c r="M41" s="9">
        <f>M7*E9/E11*1.476</f>
        <v>10.583064420923078</v>
      </c>
      <c r="N41" s="9">
        <f>M7*E9/E11*1.236</f>
        <v>8.8622409378461544</v>
      </c>
      <c r="O41" s="9">
        <f>M7*E9/E11</f>
        <v>7.1700978461538467</v>
      </c>
      <c r="P41" s="9">
        <f>M7*E9/E11*0.809</f>
        <v>5.800609157538462</v>
      </c>
      <c r="Q41" s="9">
        <f>M7*E9/E11*0.677</f>
        <v>4.8541562418461544</v>
      </c>
      <c r="R41" s="9">
        <f>M7*E9/E11*0.574</f>
        <v>4.115636163692308</v>
      </c>
    </row>
    <row r="42" spans="1:18" x14ac:dyDescent="0.25">
      <c r="A42" s="11" t="s">
        <v>63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0">
        <f>M7*E9/E11*1.685</f>
        <v>12.081614870769233</v>
      </c>
      <c r="M42" s="10">
        <f>M7*E9/E11*1.476</f>
        <v>10.583064420923078</v>
      </c>
      <c r="N42" s="10">
        <f>M7*E9/E11*1.227</f>
        <v>8.7977100572307698</v>
      </c>
      <c r="O42" s="10">
        <f>M7*E9/E11</f>
        <v>7.1700978461538467</v>
      </c>
      <c r="P42" s="10">
        <f>M7*E9/E11*0.815</f>
        <v>5.8436297446153844</v>
      </c>
      <c r="Q42" s="10">
        <f>M7*E9/E11*0.667</f>
        <v>4.782455263384616</v>
      </c>
      <c r="R42" s="10">
        <f>M7*E9/E11*0.593</f>
        <v>4.2518680227692309</v>
      </c>
    </row>
    <row r="43" spans="1:18" x14ac:dyDescent="0.25">
      <c r="A43" s="8" t="s">
        <v>35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9">
        <f>M7*E9/E11*1.667</f>
        <v>11.952553109538464</v>
      </c>
      <c r="M43" s="9">
        <f>M7*E9/E11*1.45</f>
        <v>10.396641876923077</v>
      </c>
      <c r="N43" s="9">
        <f>M7*E9/E11*1.243</f>
        <v>8.9124316227692315</v>
      </c>
      <c r="O43" s="9">
        <f>M7*E9/E11</f>
        <v>7.1700978461538467</v>
      </c>
      <c r="P43" s="9">
        <f>M7*E9/E11*0.804</f>
        <v>5.7647586683076932</v>
      </c>
      <c r="Q43" s="9">
        <f>M7*E9/E11*0.69</f>
        <v>4.9473675138461539</v>
      </c>
      <c r="R43" s="9">
        <f>M7*E9/E11*0.6</f>
        <v>4.302058707692308</v>
      </c>
    </row>
    <row r="44" spans="1:18" x14ac:dyDescent="0.25">
      <c r="A44" s="11" t="s">
        <v>37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0">
        <f>M7*E9/E11*1.5</f>
        <v>10.75514676923077</v>
      </c>
      <c r="O44" s="10">
        <f>M7*E9/E11*1.267</f>
        <v>9.0845139710769232</v>
      </c>
      <c r="P44" s="10">
        <f>M7*E9/E11</f>
        <v>7.1700978461538467</v>
      </c>
      <c r="Q44" s="10">
        <f>M7*E9/E11*0.789</f>
        <v>5.6572072006153853</v>
      </c>
      <c r="R44" s="10">
        <f>M7*E9/E11*0.667</f>
        <v>4.782455263384616</v>
      </c>
    </row>
    <row r="45" spans="1:18" x14ac:dyDescent="0.25">
      <c r="A45" s="8" t="s">
        <v>38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9">
        <f>M7*E9/E11*1.6</f>
        <v>11.472156553846155</v>
      </c>
      <c r="O45" s="9">
        <f>M7*E9/E11*1.33</f>
        <v>9.5362301353846171</v>
      </c>
      <c r="P45" s="9">
        <f>M7*E9/E11</f>
        <v>7.1700978461538467</v>
      </c>
      <c r="Q45" s="9">
        <f>M7*E9/E11*0.75</f>
        <v>5.3775733846153848</v>
      </c>
      <c r="R45" s="9">
        <f>M7*E9/E11*0.63</f>
        <v>4.517161643076923</v>
      </c>
    </row>
    <row r="46" spans="1:18" x14ac:dyDescent="0.25">
      <c r="A46" s="11" t="s">
        <v>64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M46" s="11"/>
      <c r="N46" s="10">
        <f>M7*E9/E11*1.5</f>
        <v>10.75514676923077</v>
      </c>
      <c r="O46" s="10">
        <f>M7*E9/E11*1.286</f>
        <v>9.220745830153847</v>
      </c>
      <c r="P46" s="10">
        <f>M7*E9/E11</f>
        <v>7.1700978461538467</v>
      </c>
      <c r="Q46" s="10">
        <f>M7*E9/E11*0.778</f>
        <v>5.5783361243076932</v>
      </c>
      <c r="R46" s="10">
        <f>M7*E9/E11*0.667</f>
        <v>4.782455263384616</v>
      </c>
    </row>
    <row r="47" spans="1:18" x14ac:dyDescent="0.25">
      <c r="A47" s="8" t="s">
        <v>65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9">
        <f>M7*E9/E11*1.579</f>
        <v>11.321584499076923</v>
      </c>
      <c r="O47" s="9">
        <f>M7*E9/E11*1.281</f>
        <v>9.1848953409230774</v>
      </c>
      <c r="P47" s="9">
        <f>M7*E9/E11</f>
        <v>7.1700978461538467</v>
      </c>
      <c r="Q47" s="9">
        <f>M7*E9/E11*0.781</f>
        <v>5.5998464178461544</v>
      </c>
      <c r="R47" s="9">
        <f>M7*E9/E11*0.633</f>
        <v>4.5386719366153851</v>
      </c>
    </row>
    <row r="48" spans="1:18" x14ac:dyDescent="0.25">
      <c r="A48" s="11" t="s">
        <v>66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M48" s="11"/>
      <c r="N48" s="10">
        <f>M7*E9/E11*1.545</f>
        <v>11.077801172307693</v>
      </c>
      <c r="O48" s="10">
        <f>M7*E9/E11*1.335</f>
        <v>9.5720806246153849</v>
      </c>
      <c r="P48" s="10">
        <f>M7*E9/E11*1.159</f>
        <v>8.3101434036923081</v>
      </c>
      <c r="Q48" s="10">
        <f>M7*E9/E11*1.001</f>
        <v>7.1772679439999996</v>
      </c>
      <c r="R48" s="10">
        <f>M7*E9/E11*0.75</f>
        <v>5.3775733846153848</v>
      </c>
    </row>
    <row r="49" spans="1:22" x14ac:dyDescent="0.25">
      <c r="A49" s="8" t="s">
        <v>67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12"/>
      <c r="M49" s="8"/>
      <c r="N49" s="8"/>
      <c r="O49" s="13">
        <f>M7*E9/E11*1.843</f>
        <v>13.214490330461539</v>
      </c>
      <c r="P49" s="13">
        <f>M7*E9/E11*1.5</f>
        <v>10.75514676923077</v>
      </c>
      <c r="Q49" s="13">
        <f>M7*E9/E11*1.244</f>
        <v>8.9196017206153861</v>
      </c>
      <c r="R49" s="13">
        <f>M7*E9/E11</f>
        <v>7.1700978461538467</v>
      </c>
    </row>
    <row r="50" spans="1:22" x14ac:dyDescent="0.25">
      <c r="A50" s="11" t="s">
        <v>68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N50" s="11"/>
      <c r="O50" s="10">
        <f>M7*E9/E11*1.267</f>
        <v>9.0845139710769232</v>
      </c>
      <c r="P50" s="10">
        <f>M7*E9/E11</f>
        <v>7.1700978461538467</v>
      </c>
      <c r="Q50" s="10">
        <f>M7*E9/E11*0.789</f>
        <v>5.6572072006153853</v>
      </c>
      <c r="R50" s="10">
        <f>M7*E9/E11*0.667</f>
        <v>4.782455263384616</v>
      </c>
    </row>
    <row r="51" spans="1:22" x14ac:dyDescent="0.25">
      <c r="A51" s="8" t="s">
        <v>69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>
        <f>M7*E9/E11*1.091</f>
        <v>7.8225767501538463</v>
      </c>
      <c r="P51" s="9">
        <f>M7*E9/E11</f>
        <v>7.1700978461538467</v>
      </c>
      <c r="Q51" s="9">
        <f>M7*E9/E11*0.9</f>
        <v>6.4530880615384625</v>
      </c>
      <c r="R51" s="9">
        <f>M7*E9/E11*0.75</f>
        <v>5.3775733846153848</v>
      </c>
    </row>
    <row r="52" spans="1:22" x14ac:dyDescent="0.25">
      <c r="A52" s="11" t="s">
        <v>70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N52" s="11"/>
      <c r="O52" s="10">
        <f>M7*E9/E11*1.125</f>
        <v>8.0663600769230772</v>
      </c>
      <c r="P52" s="10">
        <f>M7*E9/E11</f>
        <v>7.1700978461538467</v>
      </c>
      <c r="Q52" s="10">
        <f>M7*E9/E11*0.857</f>
        <v>6.1447738541538461</v>
      </c>
      <c r="R52" s="10">
        <f>M7*E9/E11*0.667</f>
        <v>4.782455263384616</v>
      </c>
      <c r="V52" s="11"/>
    </row>
    <row r="53" spans="1:22" x14ac:dyDescent="0.25">
      <c r="A53" s="8" t="s">
        <v>71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9">
        <f>M7*E9/E11*1.33</f>
        <v>9.5362301353846171</v>
      </c>
      <c r="P53" s="9">
        <f>M7*E9/E11</f>
        <v>7.1700978461538467</v>
      </c>
      <c r="Q53" s="9">
        <f>M7*E9/E11*0.75</f>
        <v>5.3775733846153848</v>
      </c>
      <c r="R53" s="9">
        <f>M7*E9/E11*0.6</f>
        <v>4.302058707692308</v>
      </c>
    </row>
    <row r="54" spans="1:22" x14ac:dyDescent="0.25">
      <c r="A54" s="11" t="s">
        <v>72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4"/>
      <c r="O54" s="11"/>
      <c r="P54" s="10">
        <f>M7*E9/E11*1.25</f>
        <v>8.9626223076923086</v>
      </c>
      <c r="Q54" s="10">
        <f>M7*E9/E11</f>
        <v>7.1700978461538467</v>
      </c>
      <c r="R54" s="10">
        <f>M7*E9/E11*0.8</f>
        <v>5.7360782769230774</v>
      </c>
    </row>
    <row r="55" spans="1:22" x14ac:dyDescent="0.25">
      <c r="A55" s="8" t="s">
        <v>73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>
        <f>M7*E9/E11*1</f>
        <v>7.1700978461538467</v>
      </c>
      <c r="Q55" s="9">
        <f>M7*E9/E11*0.8</f>
        <v>5.7360782769230774</v>
      </c>
      <c r="R55" s="9">
        <f>M7*E9/E11*0.667</f>
        <v>4.782455263384616</v>
      </c>
    </row>
    <row r="56" spans="1:22" x14ac:dyDescent="0.25">
      <c r="A56" s="11" t="s">
        <v>74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O56" s="11"/>
      <c r="P56" s="10">
        <f>M7*E9/E11*1.333</f>
        <v>9.5577404289230774</v>
      </c>
      <c r="Q56" s="10">
        <f>M7*E9/E11</f>
        <v>7.1700978461538467</v>
      </c>
      <c r="R56" s="10">
        <f>M7*E9/E11*0.75</f>
        <v>5.3775733846153848</v>
      </c>
    </row>
    <row r="57" spans="1:22" x14ac:dyDescent="0.25">
      <c r="A57" s="8" t="s">
        <v>96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9">
        <f>M7*E9/E11*1.362</f>
        <v>9.7656732664615404</v>
      </c>
      <c r="Q57" s="9">
        <f>M7*E9/E11</f>
        <v>7.1700978461538467</v>
      </c>
      <c r="R57" s="9">
        <f>M7*E9/E11*0.734</f>
        <v>5.2628518190769231</v>
      </c>
    </row>
    <row r="58" spans="1:22" x14ac:dyDescent="0.25">
      <c r="A58" s="11" t="s">
        <v>31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O58" s="11"/>
      <c r="P58" s="10">
        <f>M7*E9/E11*1.333</f>
        <v>9.5577404289230774</v>
      </c>
      <c r="Q58" s="10">
        <f>M7*E9/E11</f>
        <v>7.1700978461538467</v>
      </c>
      <c r="R58" s="10">
        <f>M7*E9/E11*0.75</f>
        <v>5.3775733846153848</v>
      </c>
    </row>
    <row r="59" spans="1:22" x14ac:dyDescent="0.25">
      <c r="A59" s="8" t="s">
        <v>75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9">
        <f>M7*E9/E11*1.36</f>
        <v>9.7513330707692329</v>
      </c>
      <c r="Q59" s="9">
        <f>M7*E9/E11</f>
        <v>7.1700978461538467</v>
      </c>
      <c r="R59" s="9">
        <f>M7*E9/E11*0.733</f>
        <v>5.2556817212307694</v>
      </c>
    </row>
    <row r="60" spans="1:22" x14ac:dyDescent="0.25">
      <c r="A60" s="11" t="s">
        <v>22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O60" s="11"/>
      <c r="P60" s="10">
        <f>M7*E9/E11*1.362</f>
        <v>9.7656732664615404</v>
      </c>
      <c r="Q60" s="10">
        <f>M7*E9/E11</f>
        <v>7.1700978461538467</v>
      </c>
      <c r="R60" s="10">
        <f>M7*E9/E11*0.734</f>
        <v>5.2628518190769231</v>
      </c>
    </row>
    <row r="61" spans="1:22" x14ac:dyDescent="0.25">
      <c r="A61" s="8" t="s">
        <v>2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9">
        <f>M7*E9/E11*1.25</f>
        <v>8.9626223076923086</v>
      </c>
      <c r="Q61" s="9">
        <f>M7*E9/E11</f>
        <v>7.1700978461538467</v>
      </c>
      <c r="R61" s="9">
        <f>M7*E9/E11*0.8</f>
        <v>5.7360782769230774</v>
      </c>
    </row>
    <row r="62" spans="1:22" x14ac:dyDescent="0.25">
      <c r="A62" s="11" t="s">
        <v>76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O62" s="11"/>
      <c r="P62" s="10">
        <f>M7*E9/E11*1.313</f>
        <v>9.4143384720000007</v>
      </c>
      <c r="Q62" s="10">
        <f>M7*E9/E11*1</f>
        <v>7.1700978461538467</v>
      </c>
      <c r="R62" s="10">
        <f>M7*E9/E11*0.762</f>
        <v>5.4636145587692315</v>
      </c>
    </row>
    <row r="63" spans="1:22" x14ac:dyDescent="0.25">
      <c r="A63" s="8" t="s">
        <v>3</v>
      </c>
      <c r="B63" s="8"/>
      <c r="C63" s="8"/>
      <c r="D63" s="8" t="s">
        <v>39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9">
        <f>M7*E9/E11*1.333</f>
        <v>9.5577404289230774</v>
      </c>
      <c r="Q63" s="9">
        <f>M7*E9/E11</f>
        <v>7.1700978461538467</v>
      </c>
      <c r="R63" s="9">
        <f>M7*E9/E11*0.75</f>
        <v>5.3775733846153848</v>
      </c>
    </row>
    <row r="64" spans="1:22" x14ac:dyDescent="0.25">
      <c r="A64" s="11" t="s">
        <v>77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O64" s="11"/>
      <c r="P64" s="10">
        <f>M7*E9/E11*1.333</f>
        <v>9.5577404289230774</v>
      </c>
      <c r="Q64" s="10">
        <f>M7*E9/E11</f>
        <v>7.1700978461538467</v>
      </c>
      <c r="R64" s="10">
        <f>M7*E9/E11*0.75</f>
        <v>5.3775733846153848</v>
      </c>
    </row>
    <row r="65" spans="1:18" x14ac:dyDescent="0.25">
      <c r="A65" s="8" t="s">
        <v>78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9">
        <f>M7*E9/E11*1.333</f>
        <v>9.5577404289230774</v>
      </c>
      <c r="Q65" s="9">
        <f>M7*E9/E11</f>
        <v>7.1700978461538467</v>
      </c>
      <c r="R65" s="9">
        <f>M7*E9/E11*0.75</f>
        <v>5.3775733846153848</v>
      </c>
    </row>
    <row r="66" spans="1:18" x14ac:dyDescent="0.25">
      <c r="A66" s="11" t="s">
        <v>79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O66" s="11"/>
      <c r="P66" s="10">
        <f>M7*E9/E11*1.333</f>
        <v>9.5577404289230774</v>
      </c>
      <c r="Q66" s="10">
        <f>M7*E9/E11</f>
        <v>7.1700978461538467</v>
      </c>
      <c r="R66" s="10">
        <f>M7*E9/E11*0.75</f>
        <v>5.3775733846153848</v>
      </c>
    </row>
    <row r="67" spans="1:18" x14ac:dyDescent="0.25">
      <c r="A67" s="8" t="s">
        <v>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9">
        <f>M7*E9/E11*1.156</f>
        <v>8.288633110153846</v>
      </c>
      <c r="Q67" s="9">
        <f>M7*E9/E11</f>
        <v>7.1700978461538467</v>
      </c>
      <c r="R67" s="9">
        <f>M7*E9/E11*0.865</f>
        <v>6.202134636923077</v>
      </c>
    </row>
    <row r="68" spans="1:18" x14ac:dyDescent="0.25">
      <c r="A68" s="11" t="s">
        <v>5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O68" s="11"/>
      <c r="P68" s="10">
        <f>M7*E9/E11*1.125</f>
        <v>8.0663600769230772</v>
      </c>
      <c r="Q68" s="10">
        <f>M7*E9/E11</f>
        <v>7.1700978461538467</v>
      </c>
      <c r="R68" s="10">
        <f>M7*E9/E11*0.889</f>
        <v>6.3742169852307695</v>
      </c>
    </row>
    <row r="69" spans="1:18" x14ac:dyDescent="0.25">
      <c r="A69" s="8" t="s">
        <v>40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>
        <f>M7*E9/E11</f>
        <v>7.1700978461538467</v>
      </c>
      <c r="Q69" s="9">
        <f>M7*E9/E11*0.75</f>
        <v>5.3775733846153848</v>
      </c>
      <c r="R69" s="9">
        <f>M7*E9/E11*0.625</f>
        <v>4.4813111538461543</v>
      </c>
    </row>
    <row r="70" spans="1:18" x14ac:dyDescent="0.25">
      <c r="A70" s="11" t="s">
        <v>41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5">
        <f>M7*E9/E11</f>
        <v>7.1700978461538467</v>
      </c>
      <c r="Q70" s="5">
        <f>M7*E9/E11*0.9</f>
        <v>6.4530880615384625</v>
      </c>
      <c r="R70" s="5">
        <f>M7*E9/E11*0.75</f>
        <v>5.3775733846153848</v>
      </c>
    </row>
    <row r="71" spans="1:18" x14ac:dyDescent="0.25">
      <c r="A71" s="8" t="s">
        <v>42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9">
        <f>M7*E9/E11*1.17</f>
        <v>8.3890144800000002</v>
      </c>
      <c r="Q71" s="9">
        <f>M7*E9/E11</f>
        <v>7.1700978461538467</v>
      </c>
      <c r="R71" s="9">
        <f>M7*E9/E11*0.86</f>
        <v>6.1662841476923083</v>
      </c>
    </row>
    <row r="72" spans="1:18" x14ac:dyDescent="0.25">
      <c r="A72" s="11" t="s">
        <v>32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O72" s="11"/>
      <c r="P72" s="10">
        <f>M7*E9/E11*1.39</f>
        <v>9.9664360061538471</v>
      </c>
      <c r="Q72" s="10">
        <f>M7*E9/E11</f>
        <v>7.1700978461538467</v>
      </c>
      <c r="R72" s="10">
        <f>M7*E9/E11*0.72</f>
        <v>5.1624704492307698</v>
      </c>
    </row>
    <row r="73" spans="1:18" x14ac:dyDescent="0.25">
      <c r="A73" s="8" t="s">
        <v>33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9">
        <f>M7*E9/E11*1.07</f>
        <v>7.6720046953846168</v>
      </c>
      <c r="Q73" s="9">
        <f>M7*E9/E11</f>
        <v>7.1700978461538467</v>
      </c>
      <c r="R73" s="9">
        <f>M7*E9/E11*0.925</f>
        <v>6.6323405076923088</v>
      </c>
    </row>
    <row r="74" spans="1:18" x14ac:dyDescent="0.25">
      <c r="A74" s="11" t="s">
        <v>29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O74" s="11"/>
      <c r="P74" s="11"/>
      <c r="Q74" s="18">
        <f>M7*E9/E11</f>
        <v>7.1700978461538467</v>
      </c>
      <c r="R74" s="18">
        <f>M7*E9/E11*0.68</f>
        <v>4.8756665353846165</v>
      </c>
    </row>
    <row r="75" spans="1:18" x14ac:dyDescent="0.25">
      <c r="A75" s="8" t="s">
        <v>30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9">
        <f>M7*E9/E11*1.47</f>
        <v>10.540043833846154</v>
      </c>
      <c r="R75" s="9">
        <f>M7*E9/E11</f>
        <v>7.1700978461538467</v>
      </c>
    </row>
    <row r="76" spans="1:18" x14ac:dyDescent="0.25">
      <c r="A76" s="11" t="s">
        <v>94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0">
        <f>M7*E9/E11</f>
        <v>7.1700978461538467</v>
      </c>
      <c r="R76" s="10">
        <f>M7*E9/E11*0.68</f>
        <v>4.8756665353846165</v>
      </c>
    </row>
    <row r="77" spans="1:18" x14ac:dyDescent="0.25">
      <c r="A77" s="8" t="s">
        <v>80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9">
        <f>M7*1.37</f>
        <v>2.9697544800000002</v>
      </c>
      <c r="R77" s="9">
        <f>M7</f>
        <v>2.1677040000000001</v>
      </c>
    </row>
    <row r="78" spans="1:18" x14ac:dyDescent="0.25">
      <c r="A78" s="11" t="s">
        <v>23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0">
        <f>M7*E9/E11</f>
        <v>7.1700978461538467</v>
      </c>
      <c r="R78" s="10">
        <f>M7*E9/E11*0.62</f>
        <v>4.4454606646153847</v>
      </c>
    </row>
    <row r="79" spans="1:18" x14ac:dyDescent="0.25">
      <c r="A79" s="8" t="s">
        <v>24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9">
        <f>M7*E9/E11*1.362</f>
        <v>9.7656732664615404</v>
      </c>
      <c r="R79" s="9">
        <f>M7*E9/E11</f>
        <v>7.1700978461538467</v>
      </c>
    </row>
    <row r="80" spans="1:18" x14ac:dyDescent="0.25">
      <c r="A80" s="11" t="s">
        <v>95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0">
        <f>M7*E9/E11</f>
        <v>7.1700978461538467</v>
      </c>
      <c r="R80" s="10">
        <f>M7*E9/E11*0.738</f>
        <v>5.291532210461539</v>
      </c>
    </row>
    <row r="81" spans="1:19" x14ac:dyDescent="0.25">
      <c r="A81" s="8" t="s">
        <v>81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9">
        <f>M7*1.5</f>
        <v>3.2515559999999999</v>
      </c>
      <c r="R81" s="9">
        <f>M7</f>
        <v>2.1677040000000001</v>
      </c>
    </row>
    <row r="82" spans="1:19" x14ac:dyDescent="0.25">
      <c r="A82" s="11" t="s">
        <v>43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0">
        <f>M7*E9/E11</f>
        <v>7.1700978461538467</v>
      </c>
      <c r="R82" s="10">
        <f>M7*E9/E11*0.74</f>
        <v>5.3058724061538465</v>
      </c>
    </row>
    <row r="83" spans="1:19" x14ac:dyDescent="0.25">
      <c r="A83" s="8" t="s">
        <v>27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9">
        <f>M7*E9/E11</f>
        <v>7.1700978461538467</v>
      </c>
      <c r="R83" s="9">
        <f>M7*E9/E11*0.87</f>
        <v>6.2379851261538466</v>
      </c>
    </row>
    <row r="84" spans="1:19" x14ac:dyDescent="0.25">
      <c r="A84" s="11" t="s">
        <v>26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0">
        <f>M7*E9/E11</f>
        <v>7.1700978461538467</v>
      </c>
      <c r="R84" s="10">
        <f>M7*E9/E11*0.71</f>
        <v>5.0907694707692306</v>
      </c>
    </row>
    <row r="85" spans="1:19" x14ac:dyDescent="0.25">
      <c r="A85" s="8" t="s">
        <v>28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9">
        <f>M7*E9/E11*1.38</f>
        <v>9.8947350276923078</v>
      </c>
      <c r="R85" s="9">
        <f>M7*E9/E11</f>
        <v>7.1700978461538467</v>
      </c>
    </row>
    <row r="86" spans="1:19" x14ac:dyDescent="0.25">
      <c r="A86" s="11" t="s">
        <v>25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0">
        <f>M7*E9/E11</f>
        <v>7.1700978461538467</v>
      </c>
      <c r="R86" s="10">
        <f>M7*E9/E11*0.75</f>
        <v>5.3775733846153848</v>
      </c>
      <c r="S86" s="21"/>
    </row>
    <row r="87" spans="1:19" x14ac:dyDescent="0.25">
      <c r="A87" s="34" t="s">
        <v>86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21"/>
    </row>
    <row r="88" spans="1:19" x14ac:dyDescent="0.25">
      <c r="A88" s="11"/>
      <c r="B88" s="11"/>
      <c r="C88" s="11"/>
      <c r="D88" s="11" t="s">
        <v>20</v>
      </c>
      <c r="E88" s="11" t="s">
        <v>21</v>
      </c>
      <c r="F88" s="11"/>
      <c r="G88" s="11"/>
      <c r="H88" s="11"/>
      <c r="I88" s="11"/>
      <c r="J88" s="11"/>
      <c r="K88" s="11" t="s">
        <v>19</v>
      </c>
      <c r="L88" s="11"/>
      <c r="M88" s="11"/>
      <c r="N88" s="11"/>
      <c r="O88" s="11"/>
      <c r="P88" s="11"/>
      <c r="Q88" s="11"/>
      <c r="R88" s="11"/>
      <c r="S88" s="21"/>
    </row>
    <row r="89" spans="1:19" x14ac:dyDescent="0.25">
      <c r="A89" s="38" t="s">
        <v>7</v>
      </c>
      <c r="B89" s="39"/>
      <c r="C89" s="39"/>
      <c r="D89" s="9">
        <f>M7*E9/E11*1.75</f>
        <v>12.547671230769232</v>
      </c>
      <c r="E89" s="9">
        <f>M7*E9/E11*0.5</f>
        <v>3.5850489230769234</v>
      </c>
      <c r="F89" s="39"/>
      <c r="G89" s="39" t="s">
        <v>8</v>
      </c>
      <c r="H89" s="39"/>
      <c r="I89" s="39"/>
      <c r="J89" s="39"/>
      <c r="K89" s="9">
        <f>M7*E9/E11*1.8</f>
        <v>12.906176123076925</v>
      </c>
      <c r="L89" s="9">
        <f>M7*E9/E11*0.5</f>
        <v>3.5850489230769234</v>
      </c>
      <c r="M89" s="39"/>
      <c r="N89" s="39"/>
      <c r="O89" s="39"/>
      <c r="P89" s="39"/>
      <c r="Q89" s="39"/>
      <c r="R89" s="39"/>
      <c r="S89" s="21"/>
    </row>
    <row r="90" spans="1:19" ht="16.5" thickBot="1" x14ac:dyDescent="0.3">
      <c r="A90" s="25" t="s">
        <v>98</v>
      </c>
      <c r="B90" s="26"/>
      <c r="C90" s="26"/>
      <c r="D90" s="26"/>
      <c r="E90" s="26"/>
      <c r="F90" s="26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</row>
    <row r="91" spans="1:19" ht="15.75" thickTop="1" x14ac:dyDescent="0.25">
      <c r="A91" s="48" t="s">
        <v>97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50"/>
    </row>
    <row r="92" spans="1:19" x14ac:dyDescent="0.25">
      <c r="A92" s="21" t="s">
        <v>102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51"/>
    </row>
    <row r="93" spans="1:19" ht="15.75" thickBot="1" x14ac:dyDescent="0.3">
      <c r="A93" s="2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51"/>
    </row>
    <row r="94" spans="1:19" ht="16.5" thickBot="1" x14ac:dyDescent="0.3">
      <c r="A94" s="21"/>
      <c r="B94" s="3"/>
      <c r="C94" s="59" t="s">
        <v>99</v>
      </c>
      <c r="D94" s="43" t="s">
        <v>1</v>
      </c>
      <c r="E94" s="3" t="str">
        <f>C94</f>
        <v xml:space="preserve">  </v>
      </c>
      <c r="F94" s="54" t="e">
        <f>C94*E11/F11</f>
        <v>#VALUE!</v>
      </c>
      <c r="G94" s="55" t="e">
        <f>C94*E11/G11</f>
        <v>#VALUE!</v>
      </c>
      <c r="H94" s="55" t="e">
        <f>C94*E11/H11</f>
        <v>#VALUE!</v>
      </c>
      <c r="I94" s="55" t="e">
        <f>C94*E11/I11</f>
        <v>#VALUE!</v>
      </c>
      <c r="J94" s="55" t="e">
        <f>C94*E11/J11</f>
        <v>#VALUE!</v>
      </c>
      <c r="K94" s="55" t="e">
        <f>C94*E11/K11</f>
        <v>#VALUE!</v>
      </c>
      <c r="L94" s="55" t="e">
        <f>C94*E11/L11</f>
        <v>#VALUE!</v>
      </c>
      <c r="M94" s="55" t="e">
        <f>C94*E11/M11</f>
        <v>#VALUE!</v>
      </c>
      <c r="N94" s="55" t="e">
        <f>C94*E11/N11</f>
        <v>#VALUE!</v>
      </c>
      <c r="O94" s="55" t="e">
        <f>C94*E11/O11</f>
        <v>#VALUE!</v>
      </c>
      <c r="P94" s="55" t="e">
        <f>C94*E11/P11</f>
        <v>#VALUE!</v>
      </c>
      <c r="Q94" s="55" t="e">
        <f>C94*E11/Q11</f>
        <v>#VALUE!</v>
      </c>
      <c r="R94" s="51"/>
    </row>
    <row r="95" spans="1:19" ht="16.5" thickBot="1" x14ac:dyDescent="0.3">
      <c r="A95" s="21"/>
      <c r="B95" s="3"/>
      <c r="C95" s="59" t="s">
        <v>1</v>
      </c>
      <c r="D95" s="56" t="s">
        <v>1</v>
      </c>
      <c r="E95" s="58" t="str">
        <f>C95</f>
        <v xml:space="preserve"> </v>
      </c>
      <c r="F95" s="57" t="e">
        <f>C95*E11/F11</f>
        <v>#VALUE!</v>
      </c>
      <c r="G95" s="57" t="e">
        <f>C95*E11/G11</f>
        <v>#VALUE!</v>
      </c>
      <c r="H95" s="57" t="e">
        <f>C95*E11/H11</f>
        <v>#VALUE!</v>
      </c>
      <c r="I95" s="57" t="e">
        <f>C95*E11/I11</f>
        <v>#VALUE!</v>
      </c>
      <c r="J95" s="57" t="e">
        <f>C95*E11/J11</f>
        <v>#VALUE!</v>
      </c>
      <c r="K95" s="57" t="e">
        <f>C95*E11/K11</f>
        <v>#VALUE!</v>
      </c>
      <c r="L95" s="57" t="e">
        <f>C95*E11/L11</f>
        <v>#VALUE!</v>
      </c>
      <c r="M95" s="57" t="e">
        <f>C95*E11/M11</f>
        <v>#VALUE!</v>
      </c>
      <c r="N95" s="57" t="e">
        <f>C95*E11/N11</f>
        <v>#VALUE!</v>
      </c>
      <c r="O95" s="57" t="e">
        <f>C95*E11/O11</f>
        <v>#VALUE!</v>
      </c>
      <c r="P95" s="57" t="e">
        <f>C95*E11/P11</f>
        <v>#VALUE!</v>
      </c>
      <c r="Q95" s="57" t="e">
        <f>C95*E11/Q11</f>
        <v>#VALUE!</v>
      </c>
      <c r="R95" s="51"/>
    </row>
    <row r="96" spans="1:19" ht="16.5" thickBot="1" x14ac:dyDescent="0.3">
      <c r="A96" s="21"/>
      <c r="B96" s="3"/>
      <c r="C96" s="59" t="s">
        <v>1</v>
      </c>
      <c r="D96" s="43" t="s">
        <v>1</v>
      </c>
      <c r="E96" s="55" t="str">
        <f>C96</f>
        <v xml:space="preserve"> </v>
      </c>
      <c r="F96" s="55" t="e">
        <f>C96*E11/F11</f>
        <v>#VALUE!</v>
      </c>
      <c r="G96" s="55" t="e">
        <f>C96*E11/G11</f>
        <v>#VALUE!</v>
      </c>
      <c r="H96" s="55" t="e">
        <f>C96*E11/H11</f>
        <v>#VALUE!</v>
      </c>
      <c r="I96" s="55" t="e">
        <f>C96*E11/I11</f>
        <v>#VALUE!</v>
      </c>
      <c r="J96" s="55" t="e">
        <f>C96*E11/J11</f>
        <v>#VALUE!</v>
      </c>
      <c r="K96" s="55" t="e">
        <f>C96*E11/K11</f>
        <v>#VALUE!</v>
      </c>
      <c r="L96" s="55" t="e">
        <f>C96*E11/L11</f>
        <v>#VALUE!</v>
      </c>
      <c r="M96" s="55" t="e">
        <f>C96*E11/M11</f>
        <v>#VALUE!</v>
      </c>
      <c r="N96" s="55" t="e">
        <f>C96*E11/N11</f>
        <v>#VALUE!</v>
      </c>
      <c r="O96" s="55" t="e">
        <f>C96*E11/O11</f>
        <v>#VALUE!</v>
      </c>
      <c r="P96" s="55" t="e">
        <f>C96*E11/P11</f>
        <v>#VALUE!</v>
      </c>
      <c r="Q96" s="55" t="e">
        <f>C96*E11/Q11</f>
        <v>#VALUE!</v>
      </c>
      <c r="R96" s="51"/>
    </row>
    <row r="97" spans="1:18" x14ac:dyDescent="0.25">
      <c r="A97" s="5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53"/>
    </row>
    <row r="98" spans="1: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</sheetData>
  <sheetProtection password="CCFE" sheet="1" selectLockedCells="1"/>
  <hyperlinks>
    <hyperlink ref="L1" r:id="rId1" display="www.velofilie.nl/versnelling.htm"/>
  </hyperlinks>
  <pageMargins left="0.25" right="0.25" top="0.75" bottom="0.75" header="0.3" footer="0.3"/>
  <pageSetup paperSize="9" orientation="portrait" r:id="rId2"/>
  <ignoredErrors>
    <ignoredError sqref="M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Wiel Van den Broek</cp:lastModifiedBy>
  <cp:lastPrinted>2015-03-29T08:15:39Z</cp:lastPrinted>
  <dcterms:created xsi:type="dcterms:W3CDTF">2015-03-29T08:11:04Z</dcterms:created>
  <dcterms:modified xsi:type="dcterms:W3CDTF">2021-05-01T19:50:47Z</dcterms:modified>
</cp:coreProperties>
</file>