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elv\Documents\fietsen\fietsexcel\englishexcell\"/>
    </mc:Choice>
  </mc:AlternateContent>
  <workbookProtection workbookPassword="CCFE" lockStructure="1"/>
  <bookViews>
    <workbookView xWindow="0" yWindow="0" windowWidth="16170" windowHeight="6120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O95" i="1" l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F94" i="1"/>
  <c r="E94" i="1"/>
  <c r="D94" i="1"/>
  <c r="O93" i="1"/>
  <c r="N93" i="1"/>
  <c r="M93" i="1"/>
  <c r="L93" i="1"/>
  <c r="K93" i="1"/>
  <c r="J93" i="1"/>
  <c r="I93" i="1"/>
  <c r="H93" i="1"/>
  <c r="G93" i="1"/>
  <c r="F93" i="1"/>
  <c r="E93" i="1"/>
  <c r="D93" i="1"/>
  <c r="M7" i="1" l="1"/>
  <c r="D14" i="1"/>
  <c r="D13" i="1"/>
  <c r="D12" i="1"/>
  <c r="P75" i="1" l="1"/>
  <c r="O75" i="1"/>
  <c r="L37" i="1"/>
  <c r="F18" i="1"/>
  <c r="G18" i="1"/>
  <c r="H18" i="1"/>
  <c r="H14" i="1"/>
  <c r="K41" i="1"/>
  <c r="Q22" i="1"/>
  <c r="P68" i="1"/>
  <c r="O43" i="1"/>
  <c r="M37" i="1"/>
  <c r="M24" i="1"/>
  <c r="P85" i="1"/>
  <c r="P49" i="1"/>
  <c r="J31" i="1"/>
  <c r="N58" i="1"/>
  <c r="K35" i="1"/>
  <c r="I38" i="1"/>
  <c r="O12" i="1"/>
  <c r="O81" i="1"/>
  <c r="P26" i="1"/>
  <c r="O36" i="1"/>
  <c r="P50" i="1"/>
  <c r="I30" i="1"/>
  <c r="K30" i="1"/>
  <c r="N63" i="1"/>
  <c r="G31" i="1"/>
  <c r="R22" i="1"/>
  <c r="P61" i="1"/>
  <c r="O33" i="1"/>
  <c r="O24" i="1"/>
  <c r="L88" i="1"/>
  <c r="I37" i="1"/>
  <c r="H26" i="1"/>
  <c r="R24" i="1"/>
  <c r="O22" i="1"/>
  <c r="J33" i="1"/>
  <c r="N54" i="1"/>
  <c r="L42" i="1"/>
  <c r="P64" i="1"/>
  <c r="Q12" i="1"/>
  <c r="J26" i="1"/>
  <c r="L12" i="1"/>
  <c r="N40" i="1"/>
  <c r="P47" i="1"/>
  <c r="K88" i="1"/>
  <c r="N22" i="1"/>
  <c r="E13" i="1"/>
  <c r="J14" i="1"/>
  <c r="P62" i="1"/>
  <c r="J13" i="1"/>
  <c r="Q17" i="1"/>
  <c r="D17" i="1"/>
  <c r="I35" i="1"/>
  <c r="R17" i="1"/>
  <c r="N68" i="1"/>
  <c r="P57" i="1"/>
  <c r="P22" i="1"/>
  <c r="J42" i="1"/>
  <c r="R27" i="1"/>
  <c r="E30" i="1"/>
  <c r="I31" i="1"/>
  <c r="J37" i="1"/>
  <c r="M47" i="1"/>
  <c r="M36" i="1"/>
  <c r="N30" i="1"/>
  <c r="J40" i="1"/>
  <c r="K21" i="1"/>
  <c r="F14" i="1"/>
  <c r="P82" i="1"/>
  <c r="N41" i="1"/>
  <c r="O38" i="1"/>
  <c r="P46" i="1"/>
  <c r="J36" i="1"/>
  <c r="M48" i="1"/>
  <c r="K22" i="1"/>
  <c r="O13" i="1"/>
  <c r="P48" i="1"/>
  <c r="O21" i="1"/>
  <c r="M31" i="1"/>
  <c r="L40" i="1"/>
  <c r="P58" i="1"/>
  <c r="N66" i="1"/>
  <c r="N31" i="1"/>
  <c r="N36" i="1"/>
  <c r="H22" i="1"/>
  <c r="P37" i="1"/>
  <c r="O63" i="1"/>
  <c r="M51" i="1"/>
  <c r="L34" i="1"/>
  <c r="L43" i="1"/>
  <c r="L38" i="1"/>
  <c r="J21" i="1"/>
  <c r="N60" i="1"/>
  <c r="M32" i="1"/>
  <c r="P83" i="1"/>
  <c r="P39" i="1"/>
  <c r="O80" i="1"/>
  <c r="P60" i="1"/>
  <c r="P84" i="1"/>
  <c r="E31" i="1"/>
  <c r="M23" i="1"/>
  <c r="G30" i="1"/>
  <c r="B21" i="1"/>
  <c r="K14" i="1"/>
  <c r="G26" i="1"/>
  <c r="G21" i="1"/>
  <c r="D30" i="1"/>
  <c r="M42" i="1"/>
  <c r="N61" i="1"/>
  <c r="L27" i="1"/>
  <c r="E12" i="1"/>
  <c r="M45" i="1"/>
  <c r="P72" i="1"/>
  <c r="O76" i="1"/>
  <c r="L22" i="1"/>
  <c r="M14" i="1"/>
  <c r="M30" i="1"/>
  <c r="I12" i="1"/>
  <c r="N26" i="1"/>
  <c r="G14" i="1"/>
  <c r="O78" i="1"/>
  <c r="P63" i="1"/>
  <c r="K33" i="1"/>
  <c r="P30" i="1"/>
  <c r="N37" i="1"/>
  <c r="E17" i="1"/>
  <c r="C27" i="1"/>
  <c r="M38" i="1"/>
  <c r="D88" i="1"/>
  <c r="O71" i="1"/>
  <c r="M43" i="1"/>
  <c r="M46" i="1"/>
  <c r="F21" i="1"/>
  <c r="O37" i="1"/>
  <c r="O46" i="1"/>
  <c r="F30" i="1"/>
  <c r="K13" i="1"/>
  <c r="N50" i="1"/>
  <c r="Q24" i="1"/>
  <c r="N33" i="1"/>
  <c r="P41" i="1"/>
  <c r="L45" i="1"/>
  <c r="F32" i="1"/>
  <c r="Q27" i="1"/>
  <c r="O47" i="1"/>
  <c r="P65" i="1"/>
  <c r="P21" i="1"/>
  <c r="N51" i="1"/>
  <c r="N69" i="1"/>
  <c r="F31" i="1"/>
  <c r="N62" i="1"/>
  <c r="J24" i="1"/>
  <c r="N45" i="1"/>
  <c r="M33" i="1"/>
  <c r="N46" i="1"/>
  <c r="R23" i="1"/>
  <c r="O23" i="1"/>
  <c r="L14" i="1"/>
  <c r="P77" i="1"/>
  <c r="O41" i="1"/>
  <c r="O44" i="1"/>
  <c r="J39" i="1"/>
  <c r="O26" i="1"/>
  <c r="N57" i="1"/>
  <c r="O61" i="1"/>
  <c r="P12" i="1"/>
  <c r="C30" i="1"/>
  <c r="P55" i="1"/>
  <c r="P13" i="1"/>
  <c r="K34" i="1"/>
  <c r="O67" i="1"/>
  <c r="O58" i="1"/>
  <c r="R21" i="1"/>
  <c r="P66" i="1"/>
  <c r="O35" i="1"/>
  <c r="L46" i="1"/>
  <c r="P52" i="1"/>
  <c r="I21" i="1"/>
  <c r="E21" i="1"/>
  <c r="P42" i="1"/>
  <c r="L47" i="1"/>
  <c r="O70" i="1"/>
  <c r="P23" i="1"/>
  <c r="P43" i="1"/>
  <c r="O31" i="1"/>
  <c r="J30" i="1"/>
  <c r="N55" i="1"/>
  <c r="L41" i="1"/>
  <c r="I34" i="1"/>
  <c r="I33" i="1"/>
  <c r="K42" i="1"/>
  <c r="P71" i="1"/>
  <c r="K12" i="1"/>
  <c r="N72" i="1"/>
  <c r="O57" i="1"/>
  <c r="Q13" i="1"/>
  <c r="N32" i="1"/>
  <c r="N53" i="1"/>
  <c r="O64" i="1"/>
  <c r="O73" i="1"/>
  <c r="K17" i="1"/>
  <c r="P40" i="1"/>
  <c r="P33" i="1"/>
  <c r="O72" i="1"/>
  <c r="O84" i="1"/>
  <c r="K38" i="1"/>
  <c r="P69" i="1"/>
  <c r="O83" i="1"/>
  <c r="D21" i="1"/>
  <c r="I22" i="1"/>
  <c r="J22" i="1"/>
  <c r="G12" i="1"/>
  <c r="N52" i="1"/>
  <c r="N39" i="1"/>
  <c r="O42" i="1"/>
  <c r="J35" i="1"/>
  <c r="I36" i="1"/>
  <c r="N43" i="1"/>
  <c r="K31" i="1"/>
  <c r="H30" i="1"/>
  <c r="P35" i="1"/>
  <c r="N14" i="1"/>
  <c r="M12" i="1"/>
  <c r="O68" i="1"/>
  <c r="O59" i="1"/>
  <c r="N35" i="1"/>
  <c r="O34" i="1"/>
  <c r="O54" i="1"/>
  <c r="F13" i="1"/>
  <c r="Q23" i="1"/>
  <c r="O39" i="1"/>
  <c r="H32" i="1"/>
  <c r="F12" i="1"/>
  <c r="O65" i="1"/>
  <c r="N42" i="1"/>
  <c r="L32" i="1"/>
  <c r="O51" i="1"/>
  <c r="M40" i="1"/>
  <c r="J32" i="1"/>
  <c r="L13" i="1"/>
  <c r="N44" i="1"/>
  <c r="N12" i="1"/>
  <c r="E14" i="1"/>
  <c r="P45" i="1"/>
  <c r="K36" i="1"/>
  <c r="M35" i="1"/>
  <c r="N56" i="1"/>
  <c r="N21" i="1"/>
  <c r="G13" i="1"/>
  <c r="L21" i="1"/>
  <c r="M34" i="1"/>
  <c r="O50" i="1"/>
  <c r="K37" i="1"/>
  <c r="P38" i="1"/>
  <c r="P36" i="1"/>
  <c r="P51" i="1"/>
  <c r="C21" i="1"/>
  <c r="M52" i="1"/>
  <c r="N49" i="1"/>
  <c r="K27" i="1"/>
  <c r="N67" i="1"/>
  <c r="H21" i="1"/>
  <c r="O56" i="1"/>
  <c r="L30" i="1"/>
  <c r="O48" i="1"/>
  <c r="N47" i="1"/>
  <c r="L24" i="1"/>
  <c r="L35" i="1"/>
  <c r="N71" i="1"/>
  <c r="O14" i="1"/>
  <c r="P76" i="1"/>
  <c r="P14" i="1"/>
  <c r="P53" i="1"/>
  <c r="K24" i="1"/>
  <c r="P56" i="1"/>
  <c r="M13" i="1"/>
  <c r="O60" i="1"/>
  <c r="I14" i="1"/>
  <c r="O32" i="1"/>
  <c r="O45" i="1"/>
  <c r="A21" i="1"/>
  <c r="O74" i="1"/>
  <c r="I13" i="1"/>
  <c r="I32" i="1"/>
  <c r="Q14" i="1"/>
  <c r="M21" i="1"/>
  <c r="N13" i="1"/>
  <c r="P67" i="1"/>
  <c r="M22" i="1"/>
  <c r="P79" i="1"/>
  <c r="K23" i="1"/>
  <c r="P73" i="1"/>
  <c r="J38" i="1"/>
  <c r="G32" i="1"/>
  <c r="N23" i="1"/>
  <c r="P24" i="1"/>
  <c r="O79" i="1"/>
  <c r="M50" i="1"/>
  <c r="O82" i="1"/>
  <c r="I26" i="1"/>
  <c r="O85" i="1"/>
  <c r="H13" i="1"/>
  <c r="L36" i="1"/>
  <c r="K39" i="1"/>
  <c r="P78" i="1"/>
  <c r="O55" i="1"/>
  <c r="O52" i="1"/>
  <c r="L39" i="1"/>
  <c r="O62" i="1"/>
  <c r="D27" i="1"/>
  <c r="J34" i="1"/>
  <c r="L44" i="1"/>
  <c r="L33" i="1"/>
  <c r="L31" i="1"/>
  <c r="P81" i="1"/>
  <c r="M44" i="1"/>
  <c r="N65" i="1"/>
  <c r="N59" i="1"/>
  <c r="P54" i="1"/>
  <c r="O53" i="1"/>
  <c r="E27" i="1"/>
  <c r="M49" i="1"/>
  <c r="H34" i="1"/>
  <c r="P44" i="1"/>
  <c r="N64" i="1"/>
  <c r="N48" i="1"/>
  <c r="P32" i="1"/>
  <c r="K40" i="1"/>
  <c r="L17" i="1"/>
  <c r="J41" i="1"/>
  <c r="G22" i="1"/>
  <c r="O30" i="1"/>
  <c r="O40" i="1"/>
  <c r="L23" i="1"/>
  <c r="H33" i="1"/>
  <c r="N34" i="1"/>
  <c r="P34" i="1"/>
  <c r="N70" i="1"/>
  <c r="P31" i="1"/>
  <c r="K32" i="1"/>
  <c r="O66" i="1"/>
  <c r="P74" i="1"/>
  <c r="J23" i="1"/>
  <c r="O77" i="1"/>
  <c r="O69" i="1"/>
  <c r="H31" i="1"/>
  <c r="E88" i="1"/>
  <c r="P80" i="1"/>
  <c r="P59" i="1"/>
  <c r="Q21" i="1"/>
  <c r="M39" i="1"/>
  <c r="N24" i="1"/>
  <c r="J12" i="1"/>
  <c r="P70" i="1"/>
  <c r="N38" i="1"/>
  <c r="H12" i="1"/>
  <c r="O49" i="1"/>
  <c r="M41" i="1"/>
</calcChain>
</file>

<file path=xl/sharedStrings.xml><?xml version="1.0" encoding="utf-8"?>
<sst xmlns="http://schemas.openxmlformats.org/spreadsheetml/2006/main" count="121" uniqueCount="101">
  <si>
    <t>_</t>
  </si>
  <si>
    <t>Rohloff 14</t>
  </si>
  <si>
    <t xml:space="preserve"> </t>
  </si>
  <si>
    <t>Stumey-Archer 1902</t>
  </si>
  <si>
    <t>Sturmey-Archer</t>
  </si>
  <si>
    <t>Sturmey-Archer   AM</t>
  </si>
  <si>
    <t>Sturmey-Archer KS</t>
  </si>
  <si>
    <t>Nuvinci 170/171</t>
  </si>
  <si>
    <t>Nuvinci 360/Harmony</t>
  </si>
  <si>
    <t xml:space="preserve">   Speeddrive:</t>
  </si>
  <si>
    <t>High-speeddrive:</t>
  </si>
  <si>
    <t>Mountaindrive:</t>
  </si>
  <si>
    <t>Pinion 9XR</t>
  </si>
  <si>
    <t>Pinion 9CR</t>
  </si>
  <si>
    <t>Pinion 12</t>
  </si>
  <si>
    <t>Mutaped:</t>
  </si>
  <si>
    <t>Adler:</t>
  </si>
  <si>
    <t>Brennabor/Wanderer:</t>
  </si>
  <si>
    <r>
      <t xml:space="preserve">                       </t>
    </r>
    <r>
      <rPr>
        <b/>
        <sz val="11"/>
        <color indexed="8"/>
        <rFont val="Calibri"/>
        <family val="2"/>
      </rPr>
      <t>Bismarck</t>
    </r>
    <r>
      <rPr>
        <sz val="11"/>
        <color theme="1"/>
        <rFont val="Calibri"/>
        <family val="2"/>
        <scheme val="minor"/>
      </rPr>
      <t>:</t>
    </r>
  </si>
  <si>
    <t>max-   min</t>
  </si>
  <si>
    <t>max-</t>
  </si>
  <si>
    <t>min</t>
  </si>
  <si>
    <t>Sachs/ SRAM T3</t>
  </si>
  <si>
    <t>F&amp;S Doppel Torpedo 1905-1950</t>
  </si>
  <si>
    <t>Sachs Orbit</t>
  </si>
  <si>
    <t>F&amp;S Duomatic, Automatic, SRAM Automatix</t>
  </si>
  <si>
    <t>Sturmey-Archer  T,TB, TBC, TBF, TBFC</t>
  </si>
  <si>
    <t>Sturmey-Archer  S2 1966</t>
  </si>
  <si>
    <t>Sturmey-Archer TC</t>
  </si>
  <si>
    <t>Sturmey-Archer  S2 2010</t>
  </si>
  <si>
    <t>Bendix redband/yellowband</t>
  </si>
  <si>
    <t>Bendix blueband</t>
  </si>
  <si>
    <t>Shimano 333, F, FA, G</t>
  </si>
  <si>
    <t>Sturmey-Archer  SW</t>
  </si>
  <si>
    <t xml:space="preserve">Sturmey-Archer  AR , AC </t>
  </si>
  <si>
    <t>Sturmey Archer XRF 8, XRD8, XRK8, XRR8</t>
  </si>
  <si>
    <t>Sturmey Archer  Sprinter  7, XR7, AT7, XRD7</t>
  </si>
  <si>
    <t>Sturmey-Archer XRF8W, XRD8W, XRK8W</t>
  </si>
  <si>
    <t>Sturmey Archer S5, S5.1, S5-2, 5-Star, Sprinter 5, XRF5, SRC5</t>
  </si>
  <si>
    <t>Sturmey-Archer SRF5W, XRF5W, S5CW, SEC5W</t>
  </si>
  <si>
    <t xml:space="preserve">AW, K, KB,KT,KBC,KTC, AG,AB, AB/C, AB3, AT3, AWB  </t>
  </si>
  <si>
    <t>Sturmey-Archer S3X (fixed)</t>
  </si>
  <si>
    <t>Sturmey-Archer ASC (fixed)</t>
  </si>
  <si>
    <t>Sturmey-Archer  KSW</t>
  </si>
  <si>
    <t>Shimano AB-100 Automatic</t>
  </si>
  <si>
    <t xml:space="preserve">           Tire size:</t>
  </si>
  <si>
    <t xml:space="preserve">   </t>
  </si>
  <si>
    <t xml:space="preserve">Chainwheel(s) FRONT: </t>
  </si>
  <si>
    <t xml:space="preserve">   Start with the largest chainwheel.</t>
  </si>
  <si>
    <t>Now fill in the number(s) of theeth on the chainwheel(s) in front in the orange fields.</t>
  </si>
  <si>
    <t xml:space="preserve">Now fill in the number(s) of the teeth on the sprocket(s); small sprocket(s) first! </t>
  </si>
  <si>
    <t>BOTTOMBRACKET GEARBOXES</t>
  </si>
  <si>
    <t>Sprocket(s) REAR:</t>
  </si>
  <si>
    <t xml:space="preserve"> The 2 speed gearboxes of Schlumpf have large gains :</t>
  </si>
  <si>
    <t xml:space="preserve">The gearboxes of Pinion have 18, 12, or 9 gears. The chainwheel in front has  24 to 30 teeth.   </t>
  </si>
  <si>
    <t>Older pre-war gearboxes as Rappa:</t>
  </si>
  <si>
    <t>HUBGEARS</t>
  </si>
  <si>
    <t>The compression of the reartire under load, will shorten that distance somewhat.</t>
  </si>
  <si>
    <t>So accuracy will be slightly influenced by the tire pressure and weight on the rearwheel.</t>
  </si>
  <si>
    <t>Sachs Elan 12-speed</t>
  </si>
  <si>
    <t>Shimano Alfine 11-speed</t>
  </si>
  <si>
    <t>SRAM i 9-speed</t>
  </si>
  <si>
    <t>SRAM G9-speed</t>
  </si>
  <si>
    <t>SRAM G8-speed</t>
  </si>
  <si>
    <t>Shimano Alfine 8-speed</t>
  </si>
  <si>
    <t>Shimano Nexus 7-speed</t>
  </si>
  <si>
    <t>Sachs Super seven/ SRAM 7-speed</t>
  </si>
  <si>
    <t>Sachs Torpedo 7-speed</t>
  </si>
  <si>
    <t>Sachs Torpedo 5-speed</t>
  </si>
  <si>
    <t>Sachs/ SRAM Spectro P 5-speed</t>
  </si>
  <si>
    <t>Shimano Nexus 5-speed</t>
  </si>
  <si>
    <t>Shimano Nexus 4-speed</t>
  </si>
  <si>
    <t>Sturmey Archer  FW 4-speed</t>
  </si>
  <si>
    <t>Sturmey Archer  AF, FC 4-speed</t>
  </si>
  <si>
    <t>Sturmey Archer  FM 4-speed</t>
  </si>
  <si>
    <t>F&amp;S Universal Torpedo 4-speed 1912</t>
  </si>
  <si>
    <t>F&amp;S Universal  3-speed</t>
  </si>
  <si>
    <t xml:space="preserve">F&amp;S Torpedo mod.25, mod.29 3-speed </t>
  </si>
  <si>
    <t>F&amp;S mod.53, mod.55  3-speed</t>
  </si>
  <si>
    <t>Shimano Inter 3-speed</t>
  </si>
  <si>
    <t>Sturmey-Archer  A, C, F, FX, FN, N, V, X, copy: BSA</t>
  </si>
  <si>
    <t xml:space="preserve">           "  -     "     and the: SAB, S3B, SBR, X-RD3, RX-RD3, XL-RD3, CS-RF3, TS-RC3</t>
  </si>
  <si>
    <r>
      <t>Sturmey-Archer AW-copys: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Brampton, Hercules, NK, Steyr, Suntour</t>
    </r>
  </si>
  <si>
    <t>Sturmey-Archer  for trikes: TS-RC3, TS-RF3</t>
  </si>
  <si>
    <t>Crypto  fronthub/drive combination 1878</t>
  </si>
  <si>
    <t>Schlumpf  FSU fronthub/drive combination 2012</t>
  </si>
  <si>
    <t>The sprocket in the rear has 21 to 26 teeth (so almost 1:1). For the 18-speed the gearsize is:</t>
  </si>
  <si>
    <t>The (in)accuracy of the ETRTO tire-seize can also introduce a small flaw.</t>
  </si>
  <si>
    <t xml:space="preserve">Fill in the ETRTO seize from the tire (something like 23-622) in the orange fields. </t>
  </si>
  <si>
    <t>For the continously variable transmissions of Nuvinci, we can only  give a minimum and maximum gear.</t>
  </si>
  <si>
    <t>This is calculated by the size of the tires and the chainwheel(s) and sprocket(s).</t>
  </si>
  <si>
    <t>inch</t>
  </si>
  <si>
    <t xml:space="preserve">          The diameter  is : </t>
  </si>
  <si>
    <t>THE GEAR RATIO of many hubs and gearboxes</t>
  </si>
  <si>
    <t xml:space="preserve">The Efneo has three gears: </t>
  </si>
  <si>
    <t xml:space="preserve">  --------------------------------------------COMBINED GEARS-----------------------------------------------------------</t>
  </si>
  <si>
    <t>Copy the values of the gearbox in the table above, into the orange blocks below.</t>
  </si>
  <si>
    <t xml:space="preserve">  </t>
  </si>
  <si>
    <t>Epicyclic gearboxes combined with derailleur: Schlumpf, Efneo, Sachs Orbit, Spectro 3X7 .</t>
  </si>
  <si>
    <t>F&amp;S 415, 515, Sachs H3102 etc, H21101 etc., SRAM Spectro T3, i-3, 3X7</t>
  </si>
  <si>
    <r>
      <t>Classified wireless (</t>
    </r>
    <r>
      <rPr>
        <b/>
        <sz val="11"/>
        <color indexed="8"/>
        <rFont val="Calibri"/>
        <family val="2"/>
      </rPr>
      <t>combined with derailleur!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</si>
</sst>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.0_ ;_ * \-#,##0.0_ ;_ * &quot;-&quot;??_ ;_ @_ 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Border="1"/>
    <xf numFmtId="2" fontId="6" fillId="0" borderId="0" xfId="1" applyNumberFormat="1" applyFont="1"/>
    <xf numFmtId="0" fontId="0" fillId="2" borderId="0" xfId="0" applyFill="1"/>
    <xf numFmtId="0" fontId="0" fillId="0" borderId="0" xfId="0" applyFont="1"/>
    <xf numFmtId="0" fontId="0" fillId="3" borderId="0" xfId="0" applyFill="1"/>
    <xf numFmtId="0" fontId="0" fillId="4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7" fillId="0" borderId="0" xfId="0" applyFont="1"/>
    <xf numFmtId="0" fontId="1" fillId="0" borderId="0" xfId="0" applyFont="1"/>
    <xf numFmtId="164" fontId="5" fillId="0" borderId="1" xfId="1" applyNumberFormat="1" applyFont="1" applyBorder="1"/>
    <xf numFmtId="164" fontId="5" fillId="0" borderId="1" xfId="0" applyNumberFormat="1" applyFont="1" applyBorder="1"/>
    <xf numFmtId="165" fontId="5" fillId="2" borderId="1" xfId="0" applyNumberFormat="1" applyFont="1" applyFill="1" applyBorder="1"/>
    <xf numFmtId="165" fontId="5" fillId="0" borderId="1" xfId="0" applyNumberFormat="1" applyFont="1" applyBorder="1"/>
    <xf numFmtId="165" fontId="0" fillId="0" borderId="0" xfId="0" applyNumberFormat="1"/>
    <xf numFmtId="165" fontId="5" fillId="3" borderId="1" xfId="0" applyNumberFormat="1" applyFont="1" applyFill="1" applyBorder="1"/>
    <xf numFmtId="165" fontId="5" fillId="0" borderId="0" xfId="0" applyNumberFormat="1" applyFont="1"/>
    <xf numFmtId="165" fontId="0" fillId="2" borderId="0" xfId="0" applyNumberFormat="1" applyFill="1"/>
    <xf numFmtId="165" fontId="0" fillId="3" borderId="0" xfId="0" applyNumberFormat="1" applyFill="1"/>
    <xf numFmtId="165" fontId="5" fillId="3" borderId="2" xfId="0" applyNumberFormat="1" applyFont="1" applyFill="1" applyBorder="1"/>
    <xf numFmtId="165" fontId="5" fillId="2" borderId="0" xfId="0" applyNumberFormat="1" applyFont="1" applyFill="1"/>
    <xf numFmtId="165" fontId="5" fillId="2" borderId="2" xfId="0" applyNumberFormat="1" applyFont="1" applyFill="1" applyBorder="1"/>
    <xf numFmtId="165" fontId="5" fillId="3" borderId="0" xfId="0" applyNumberFormat="1" applyFont="1" applyFill="1"/>
    <xf numFmtId="0" fontId="3" fillId="3" borderId="0" xfId="0" applyFont="1" applyFill="1"/>
    <xf numFmtId="0" fontId="8" fillId="0" borderId="5" xfId="0" applyFont="1" applyBorder="1"/>
    <xf numFmtId="0" fontId="9" fillId="0" borderId="5" xfId="0" applyFont="1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3" borderId="0" xfId="0" applyFill="1" applyBorder="1"/>
    <xf numFmtId="165" fontId="5" fillId="0" borderId="0" xfId="1" applyNumberFormat="1" applyFont="1" applyBorder="1"/>
    <xf numFmtId="165" fontId="5" fillId="0" borderId="0" xfId="0" applyNumberFormat="1" applyFont="1" applyBorder="1"/>
    <xf numFmtId="165" fontId="5" fillId="2" borderId="0" xfId="0" applyNumberFormat="1" applyFont="1" applyFill="1" applyBorder="1"/>
    <xf numFmtId="165" fontId="6" fillId="2" borderId="1" xfId="0" applyNumberFormat="1" applyFont="1" applyFill="1" applyBorder="1"/>
    <xf numFmtId="0" fontId="5" fillId="0" borderId="0" xfId="0" applyFont="1" applyBorder="1"/>
    <xf numFmtId="0" fontId="5" fillId="5" borderId="3" xfId="0" applyFont="1" applyFill="1" applyBorder="1" applyProtection="1">
      <protection locked="0"/>
    </xf>
    <xf numFmtId="0" fontId="5" fillId="4" borderId="3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"/>
  <sheetViews>
    <sheetView tabSelected="1" topLeftCell="A60" workbookViewId="0">
      <selection activeCell="C93" sqref="C93"/>
    </sheetView>
  </sheetViews>
  <sheetFormatPr defaultRowHeight="15" x14ac:dyDescent="0.25"/>
  <cols>
    <col min="1" max="1" width="5" customWidth="1"/>
    <col min="2" max="2" width="5.42578125" customWidth="1"/>
    <col min="3" max="3" width="5.7109375" customWidth="1"/>
    <col min="4" max="4" width="5.28515625" customWidth="1"/>
    <col min="5" max="5" width="5.140625" customWidth="1"/>
    <col min="6" max="6" width="5.7109375" customWidth="1"/>
    <col min="7" max="7" width="4.85546875" customWidth="1"/>
    <col min="8" max="9" width="5" customWidth="1"/>
    <col min="10" max="10" width="5.28515625" customWidth="1"/>
    <col min="11" max="12" width="5.42578125" customWidth="1"/>
    <col min="13" max="13" width="5.5703125" customWidth="1"/>
    <col min="14" max="15" width="5" customWidth="1"/>
    <col min="16" max="17" width="4.5703125" customWidth="1"/>
    <col min="18" max="18" width="5.28515625" customWidth="1"/>
  </cols>
  <sheetData>
    <row r="1" spans="1:17" x14ac:dyDescent="0.25">
      <c r="A1" s="2" t="s">
        <v>93</v>
      </c>
      <c r="B1" s="2"/>
      <c r="C1" s="2"/>
      <c r="D1" s="2"/>
      <c r="E1" s="2"/>
      <c r="F1" s="2"/>
      <c r="G1" s="2"/>
    </row>
    <row r="2" spans="1:17" x14ac:dyDescent="0.25">
      <c r="A2" t="s">
        <v>90</v>
      </c>
    </row>
    <row r="3" spans="1:17" x14ac:dyDescent="0.25">
      <c r="A3" t="s">
        <v>57</v>
      </c>
    </row>
    <row r="4" spans="1:17" x14ac:dyDescent="0.25">
      <c r="A4" t="s">
        <v>58</v>
      </c>
    </row>
    <row r="5" spans="1:17" x14ac:dyDescent="0.25">
      <c r="A5" t="s">
        <v>87</v>
      </c>
    </row>
    <row r="6" spans="1:17" ht="15.75" thickBot="1" x14ac:dyDescent="0.3">
      <c r="A6" t="s">
        <v>88</v>
      </c>
    </row>
    <row r="7" spans="1:17" ht="15.75" thickBot="1" x14ac:dyDescent="0.3">
      <c r="A7" s="1" t="s">
        <v>45</v>
      </c>
      <c r="B7" s="1"/>
      <c r="C7" s="1"/>
      <c r="E7" s="10" t="s">
        <v>2</v>
      </c>
      <c r="F7" s="3" t="s">
        <v>0</v>
      </c>
      <c r="G7" s="10" t="s">
        <v>2</v>
      </c>
      <c r="H7" t="s">
        <v>46</v>
      </c>
      <c r="I7" t="s">
        <v>92</v>
      </c>
      <c r="M7" s="6" t="e">
        <f>(2*E7+G7)/25.4</f>
        <v>#VALUE!</v>
      </c>
      <c r="N7" t="s">
        <v>91</v>
      </c>
    </row>
    <row r="8" spans="1:17" ht="15.75" thickBot="1" x14ac:dyDescent="0.3">
      <c r="A8" t="s">
        <v>49</v>
      </c>
    </row>
    <row r="9" spans="1:17" ht="15.75" thickBot="1" x14ac:dyDescent="0.3">
      <c r="A9" t="s">
        <v>47</v>
      </c>
      <c r="E9" s="10" t="s">
        <v>2</v>
      </c>
      <c r="F9" s="11" t="s">
        <v>2</v>
      </c>
      <c r="G9" s="12" t="s">
        <v>2</v>
      </c>
      <c r="H9" t="s">
        <v>48</v>
      </c>
    </row>
    <row r="10" spans="1:17" ht="15.75" thickBot="1" x14ac:dyDescent="0.3">
      <c r="A10" t="s">
        <v>50</v>
      </c>
      <c r="F10" s="4"/>
    </row>
    <row r="11" spans="1:17" ht="15.75" thickBot="1" x14ac:dyDescent="0.3">
      <c r="A11" t="s">
        <v>52</v>
      </c>
      <c r="E11" s="47" t="s">
        <v>2</v>
      </c>
      <c r="F11" s="48" t="s">
        <v>2</v>
      </c>
      <c r="G11" s="49" t="s">
        <v>2</v>
      </c>
      <c r="H11" s="49" t="s">
        <v>2</v>
      </c>
      <c r="I11" s="49" t="s">
        <v>2</v>
      </c>
      <c r="J11" s="49" t="s">
        <v>2</v>
      </c>
      <c r="K11" s="49" t="s">
        <v>97</v>
      </c>
      <c r="L11" s="49" t="s">
        <v>2</v>
      </c>
      <c r="M11" s="49" t="s">
        <v>2</v>
      </c>
      <c r="N11" s="49" t="s">
        <v>2</v>
      </c>
      <c r="O11" s="49" t="s">
        <v>2</v>
      </c>
      <c r="P11" s="49" t="s">
        <v>2</v>
      </c>
      <c r="Q11" s="49" t="s">
        <v>2</v>
      </c>
    </row>
    <row r="12" spans="1:17" ht="15.75" x14ac:dyDescent="0.25">
      <c r="D12" s="13" t="str">
        <f>E9</f>
        <v xml:space="preserve"> </v>
      </c>
      <c r="E12" s="15" t="e">
        <f>M7*E9/E11</f>
        <v>#VALUE!</v>
      </c>
      <c r="F12" s="16" t="e">
        <f>M7*E9/F11</f>
        <v>#VALUE!</v>
      </c>
      <c r="G12" s="16" t="e">
        <f>M7*E9/G11</f>
        <v>#VALUE!</v>
      </c>
      <c r="H12" s="16" t="e">
        <f>M7*E9/H11</f>
        <v>#VALUE!</v>
      </c>
      <c r="I12" s="16" t="e">
        <f>M7*E9/I11</f>
        <v>#VALUE!</v>
      </c>
      <c r="J12" s="16" t="e">
        <f>M7*E9/J11</f>
        <v>#VALUE!</v>
      </c>
      <c r="K12" s="16" t="e">
        <f>M7*E9/K11</f>
        <v>#VALUE!</v>
      </c>
      <c r="L12" s="16" t="e">
        <f>M7*E9/L11</f>
        <v>#VALUE!</v>
      </c>
      <c r="M12" s="16" t="e">
        <f>M7*E9/M11</f>
        <v>#VALUE!</v>
      </c>
      <c r="N12" s="16" t="e">
        <f>M7*E9/N11</f>
        <v>#VALUE!</v>
      </c>
      <c r="O12" s="16" t="e">
        <f>M7*E9/O11</f>
        <v>#VALUE!</v>
      </c>
      <c r="P12" s="16" t="e">
        <f>M7*E9/P11</f>
        <v>#VALUE!</v>
      </c>
      <c r="Q12" s="16" t="e">
        <f>M7*E9/Q11</f>
        <v>#VALUE!</v>
      </c>
    </row>
    <row r="13" spans="1:17" ht="15.75" x14ac:dyDescent="0.25">
      <c r="D13" s="13" t="str">
        <f>F9</f>
        <v xml:space="preserve"> </v>
      </c>
      <c r="E13" s="16" t="e">
        <f>M7*F9/E11</f>
        <v>#VALUE!</v>
      </c>
      <c r="F13" s="16" t="e">
        <f>M7*F9/F11</f>
        <v>#VALUE!</v>
      </c>
      <c r="G13" s="16" t="e">
        <f>M7*F9/G11</f>
        <v>#VALUE!</v>
      </c>
      <c r="H13" s="16" t="e">
        <f>M7*F9/H11</f>
        <v>#VALUE!</v>
      </c>
      <c r="I13" s="16" t="e">
        <f>M7*F9/I11</f>
        <v>#VALUE!</v>
      </c>
      <c r="J13" s="16" t="e">
        <f>M7*F9/J11</f>
        <v>#VALUE!</v>
      </c>
      <c r="K13" s="16" t="e">
        <f>M7*F9/K11</f>
        <v>#VALUE!</v>
      </c>
      <c r="L13" s="16" t="e">
        <f>M7*F9/L11</f>
        <v>#VALUE!</v>
      </c>
      <c r="M13" s="16" t="e">
        <f>M7*F9/M11</f>
        <v>#VALUE!</v>
      </c>
      <c r="N13" s="16" t="e">
        <f>M7*F9/N11</f>
        <v>#VALUE!</v>
      </c>
      <c r="O13" s="16" t="e">
        <f>M7*F9/O11</f>
        <v>#VALUE!</v>
      </c>
      <c r="P13" s="16" t="e">
        <f>M7*F9/P11</f>
        <v>#VALUE!</v>
      </c>
      <c r="Q13" s="16" t="e">
        <f>M7*F9/Q11</f>
        <v>#VALUE!</v>
      </c>
    </row>
    <row r="14" spans="1:17" ht="15.75" x14ac:dyDescent="0.25">
      <c r="D14" s="13" t="str">
        <f>G9</f>
        <v xml:space="preserve"> </v>
      </c>
      <c r="E14" s="16" t="e">
        <f>G9*M7/E11</f>
        <v>#VALUE!</v>
      </c>
      <c r="F14" s="16" t="e">
        <f>G9*M7/F11</f>
        <v>#VALUE!</v>
      </c>
      <c r="G14" s="16" t="e">
        <f>G9*M7/G11</f>
        <v>#VALUE!</v>
      </c>
      <c r="H14" s="16" t="e">
        <f>G9*M7/H11</f>
        <v>#VALUE!</v>
      </c>
      <c r="I14" s="16" t="e">
        <f>G9*M7/I11</f>
        <v>#VALUE!</v>
      </c>
      <c r="J14" s="16" t="e">
        <f>G9*M7/J11</f>
        <v>#VALUE!</v>
      </c>
      <c r="K14" s="16" t="e">
        <f>G9*M7/K11</f>
        <v>#VALUE!</v>
      </c>
      <c r="L14" s="16" t="e">
        <f>G9*M7/L11</f>
        <v>#VALUE!</v>
      </c>
      <c r="M14" s="16" t="e">
        <f>G9*M7/M11</f>
        <v>#VALUE!</v>
      </c>
      <c r="N14" s="16" t="e">
        <f>G9*M7/N11</f>
        <v>#VALUE!</v>
      </c>
      <c r="O14" s="16" t="e">
        <f>G9*M7/O11</f>
        <v>#VALUE!</v>
      </c>
      <c r="P14" s="16" t="e">
        <f>G9*M7/P11</f>
        <v>#VALUE!</v>
      </c>
      <c r="Q14" s="16" t="e">
        <f>G9*M7/Q11</f>
        <v>#VALUE!</v>
      </c>
    </row>
    <row r="15" spans="1:17" x14ac:dyDescent="0.25">
      <c r="A15" s="2" t="s">
        <v>51</v>
      </c>
    </row>
    <row r="16" spans="1:17" x14ac:dyDescent="0.25">
      <c r="A16" s="1" t="s">
        <v>53</v>
      </c>
    </row>
    <row r="17" spans="1:24" x14ac:dyDescent="0.25">
      <c r="A17" s="8" t="s">
        <v>9</v>
      </c>
      <c r="D17" s="17" t="e">
        <f>M7*E9/E11*1.65</f>
        <v>#VALUE!</v>
      </c>
      <c r="E17" s="17" t="e">
        <f>M7*E9/E11*1</f>
        <v>#VALUE!</v>
      </c>
      <c r="G17" t="s">
        <v>10</v>
      </c>
      <c r="K17" s="17" t="e">
        <f>M7*E9/E11*2.5</f>
        <v>#VALUE!</v>
      </c>
      <c r="L17" s="17" t="e">
        <f>M7*E9/E11</f>
        <v>#VALUE!</v>
      </c>
      <c r="N17" t="s">
        <v>11</v>
      </c>
      <c r="Q17" s="17" t="e">
        <f>M7*E9/E11*1</f>
        <v>#VALUE!</v>
      </c>
      <c r="R17" s="17" t="e">
        <f>M7*E9/E11*0.4</f>
        <v>#VALUE!</v>
      </c>
    </row>
    <row r="18" spans="1:24" x14ac:dyDescent="0.25">
      <c r="A18" s="28" t="s">
        <v>94</v>
      </c>
      <c r="B18" s="9"/>
      <c r="C18" s="9"/>
      <c r="D18" s="9"/>
      <c r="E18" s="9"/>
      <c r="F18" s="44" t="e">
        <f>M7*E9/E11*1.79</f>
        <v>#VALUE!</v>
      </c>
      <c r="G18" s="44" t="e">
        <f>M7*E9/E11*1.43</f>
        <v>#VALUE!</v>
      </c>
      <c r="H18" s="44" t="e">
        <f>M7*E9/E11*1</f>
        <v>#VALUE!</v>
      </c>
    </row>
    <row r="19" spans="1:24" x14ac:dyDescent="0.25">
      <c r="A19" s="1" t="s">
        <v>54</v>
      </c>
    </row>
    <row r="20" spans="1:24" x14ac:dyDescent="0.25">
      <c r="A20" s="1" t="s">
        <v>86</v>
      </c>
    </row>
    <row r="21" spans="1:24" x14ac:dyDescent="0.25">
      <c r="A21" s="17" t="e">
        <f>M7*E9/E11*3.448</f>
        <v>#VALUE!</v>
      </c>
      <c r="B21" s="17" t="e">
        <f>M7*E9/E11*3.125</f>
        <v>#VALUE!</v>
      </c>
      <c r="C21" s="17" t="e">
        <f>M7*E9/E11*2.778</f>
        <v>#VALUE!</v>
      </c>
      <c r="D21" s="17" t="e">
        <f>M7*E9/E11*2.5</f>
        <v>#VALUE!</v>
      </c>
      <c r="E21" s="17" t="e">
        <f>M7*E9/E11*2.273</f>
        <v>#VALUE!</v>
      </c>
      <c r="F21" s="17" t="e">
        <f>M7*E9/E11*2.041</f>
        <v>#VALUE!</v>
      </c>
      <c r="G21" s="17" t="e">
        <f>M7*E9/E11*1.818</f>
        <v>#VALUE!</v>
      </c>
      <c r="H21" s="17" t="e">
        <f>M7*E9/E11*1.613</f>
        <v>#VALUE!</v>
      </c>
      <c r="I21" s="17" t="e">
        <f>M7*E9/E11*1.449</f>
        <v>#VALUE!</v>
      </c>
      <c r="J21" s="17" t="e">
        <f>M7*E9/E11*1.316</f>
        <v>#VALUE!</v>
      </c>
      <c r="K21" s="17" t="e">
        <f>M7*E9/E11*1.176</f>
        <v>#VALUE!</v>
      </c>
      <c r="L21" s="17" t="e">
        <f>M7*E9/E11*1.053</f>
        <v>#VALUE!</v>
      </c>
      <c r="M21" s="17" t="e">
        <f>M7*E9/E11*0.943</f>
        <v>#VALUE!</v>
      </c>
      <c r="N21" s="17" t="e">
        <f>M7*E9/E11*0.84</f>
        <v>#VALUE!</v>
      </c>
      <c r="O21" s="17" t="e">
        <f>M7*E9/E11*0.758</f>
        <v>#VALUE!</v>
      </c>
      <c r="P21" s="17" t="e">
        <f>M7*E9/E11*0.68</f>
        <v>#VALUE!</v>
      </c>
      <c r="Q21" s="17" t="e">
        <f>M7*E9/E11*0.6135</f>
        <v>#VALUE!</v>
      </c>
      <c r="R21" s="17" t="e">
        <f>M7*E9/E11*0.549</f>
        <v>#VALUE!</v>
      </c>
    </row>
    <row r="22" spans="1:24" x14ac:dyDescent="0.25">
      <c r="A22" t="s">
        <v>14</v>
      </c>
      <c r="G22" s="18" t="e">
        <f>M7*E9/E11*3.333</f>
        <v>#VALUE!</v>
      </c>
      <c r="H22" s="18" t="e">
        <f>M7*E9/E11*2.778</f>
        <v>#VALUE!</v>
      </c>
      <c r="I22" s="18" t="e">
        <f>M7*E9/E11*2.381</f>
        <v>#VALUE!</v>
      </c>
      <c r="J22" s="18" t="e">
        <f>M7*E9/E11*2.041</f>
        <v>#VALUE!</v>
      </c>
      <c r="K22" s="18" t="e">
        <f>M7*E9/E11*1.724</f>
        <v>#VALUE!</v>
      </c>
      <c r="L22" s="18" t="e">
        <f>M7*E9/E11*0.81*1.449</f>
        <v>#VALUE!</v>
      </c>
      <c r="M22" s="18" t="e">
        <f>M7*E9/E11*1.235</f>
        <v>#VALUE!</v>
      </c>
      <c r="N22" s="18" t="e">
        <f>M7*E9/E11*1.053</f>
        <v>#VALUE!</v>
      </c>
      <c r="O22" s="18" t="e">
        <f>M7*E9/E11*0.893</f>
        <v>#VALUE!</v>
      </c>
      <c r="P22" s="18" t="e">
        <f>M7*E9/E11*0.758</f>
        <v>#VALUE!</v>
      </c>
      <c r="Q22" s="18" t="e">
        <f>M7*E9/E11*0.662</f>
        <v>#VALUE!</v>
      </c>
      <c r="R22" s="18" t="e">
        <f>M7*E9/E11*0.549</f>
        <v>#VALUE!</v>
      </c>
    </row>
    <row r="23" spans="1:24" x14ac:dyDescent="0.25">
      <c r="A23" t="s">
        <v>12</v>
      </c>
      <c r="G23" s="19"/>
      <c r="H23" s="19"/>
      <c r="I23" s="19"/>
      <c r="J23" s="17" t="e">
        <f>M7*E9/E11*3.125</f>
        <v>#VALUE!</v>
      </c>
      <c r="K23" s="17" t="e">
        <f>M7*E9/E11*2.5</f>
        <v>#VALUE!</v>
      </c>
      <c r="L23" s="17" t="e">
        <f>M7*E9/E11*2.041</f>
        <v>#VALUE!</v>
      </c>
      <c r="M23" s="17" t="e">
        <f>M7*E9/E11*1.613</f>
        <v>#VALUE!</v>
      </c>
      <c r="N23" s="17" t="e">
        <f>M7*E9/E11*1.316</f>
        <v>#VALUE!</v>
      </c>
      <c r="O23" s="17" t="e">
        <f>M7*E9/E11*1.053</f>
        <v>#VALUE!</v>
      </c>
      <c r="P23" s="17" t="e">
        <f>M7*E9/E11*0.84</f>
        <v>#VALUE!</v>
      </c>
      <c r="Q23" s="17" t="e">
        <f>M7*E9/E11*0.68</f>
        <v>#VALUE!</v>
      </c>
      <c r="R23" s="17" t="e">
        <f>M7*E9/E11*0.549</f>
        <v>#VALUE!</v>
      </c>
      <c r="X23" t="s">
        <v>2</v>
      </c>
    </row>
    <row r="24" spans="1:24" x14ac:dyDescent="0.25">
      <c r="A24" t="s">
        <v>13</v>
      </c>
      <c r="G24" s="19"/>
      <c r="H24" s="19"/>
      <c r="I24" s="19"/>
      <c r="J24" s="20" t="e">
        <f>M7*E9/E11*2.778</f>
        <v>#VALUE!</v>
      </c>
      <c r="K24" s="20" t="e">
        <f>M7*E9/E11*2.381</f>
        <v>#VALUE!</v>
      </c>
      <c r="L24" s="20" t="e">
        <f>M7*E9/E11*2.041</f>
        <v>#VALUE!</v>
      </c>
      <c r="M24" s="20" t="e">
        <f>M7*E9/E11*1.695</f>
        <v>#VALUE!</v>
      </c>
      <c r="N24" s="20" t="e">
        <f>M7*E9/E11*1.449</f>
        <v>#VALUE!</v>
      </c>
      <c r="O24" s="20" t="e">
        <f>M7*E9/E11*1.235</f>
        <v>#VALUE!</v>
      </c>
      <c r="P24" s="20" t="e">
        <f>M7*E9/E11*1.053</f>
        <v>#VALUE!</v>
      </c>
      <c r="Q24" s="20" t="e">
        <f>M7*E9/E11*0.901</f>
        <v>#VALUE!</v>
      </c>
      <c r="R24" s="20" t="e">
        <f>M7*E9/E11*0.769</f>
        <v>#VALUE!</v>
      </c>
    </row>
    <row r="26" spans="1:24" x14ac:dyDescent="0.25">
      <c r="A26" s="1" t="s">
        <v>55</v>
      </c>
      <c r="G26" s="17" t="e">
        <f>M7*E9/E11*1.36</f>
        <v>#VALUE!</v>
      </c>
      <c r="H26" s="17" t="e">
        <f>M7*E9/E11*1.06</f>
        <v>#VALUE!</v>
      </c>
      <c r="I26" s="17" t="e">
        <f>M7*E9/E11*0.78</f>
        <v>#VALUE!</v>
      </c>
      <c r="J26" s="17" t="e">
        <f>M7*E9/E11*0.63</f>
        <v>#VALUE!</v>
      </c>
      <c r="L26" s="1" t="s">
        <v>15</v>
      </c>
      <c r="N26" s="17" t="e">
        <f>M7*E9/E11*1.23</f>
        <v>#VALUE!</v>
      </c>
      <c r="O26" s="17" t="e">
        <f>M7*E9/E11*1</f>
        <v>#VALUE!</v>
      </c>
      <c r="P26" s="17" t="e">
        <f>M7*E9/E11*0.77</f>
        <v>#VALUE!</v>
      </c>
    </row>
    <row r="27" spans="1:24" x14ac:dyDescent="0.25">
      <c r="A27" s="1" t="s">
        <v>16</v>
      </c>
      <c r="C27" s="17" t="e">
        <f>M7*E9/E11*1.17</f>
        <v>#VALUE!</v>
      </c>
      <c r="D27" s="17" t="e">
        <f>M7*E9/E11</f>
        <v>#VALUE!</v>
      </c>
      <c r="E27" s="17" t="e">
        <f>M7*E9/E11*0.8</f>
        <v>#VALUE!</v>
      </c>
      <c r="G27" s="1" t="s">
        <v>17</v>
      </c>
      <c r="K27" s="17" t="e">
        <f>M7*E9/E11</f>
        <v>#VALUE!</v>
      </c>
      <c r="L27" s="17" t="e">
        <f>M7*E9/E11*0.77</f>
        <v>#VALUE!</v>
      </c>
      <c r="M27" t="s">
        <v>18</v>
      </c>
      <c r="P27" s="5"/>
      <c r="Q27" s="17" t="e">
        <f>M7*E9/E11</f>
        <v>#VALUE!</v>
      </c>
      <c r="R27" s="17" t="e">
        <f>M7*E9/E11*0.71</f>
        <v>#VALUE!</v>
      </c>
    </row>
    <row r="29" spans="1:24" x14ac:dyDescent="0.25">
      <c r="A29" s="2" t="s">
        <v>56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4" x14ac:dyDescent="0.25">
      <c r="A30" s="7" t="s">
        <v>1</v>
      </c>
      <c r="B30" s="7"/>
      <c r="C30" s="17" t="e">
        <f>M7*E9/E11*1.467</f>
        <v>#VALUE!</v>
      </c>
      <c r="D30" s="17" t="e">
        <f>M7*E9/E11*1.292</f>
        <v>#VALUE!</v>
      </c>
      <c r="E30" s="17" t="e">
        <f>M7*E9/E11*1.135</f>
        <v>#VALUE!</v>
      </c>
      <c r="F30" s="17" t="e">
        <f>M7*E9/E11*1</f>
        <v>#VALUE!</v>
      </c>
      <c r="G30" s="17" t="e">
        <f>M7*E9/E11*0.881</f>
        <v>#VALUE!</v>
      </c>
      <c r="H30" s="17" t="e">
        <f>M7*E9/E11*0.774</f>
        <v>#VALUE!</v>
      </c>
      <c r="I30" s="17" t="e">
        <f>M7*E9/E11*0.682</f>
        <v>#VALUE!</v>
      </c>
      <c r="J30" s="17" t="e">
        <f>M7*E9/E11*0.599</f>
        <v>#VALUE!</v>
      </c>
      <c r="K30" s="17" t="e">
        <f>M7*E9/E11*0.528</f>
        <v>#VALUE!</v>
      </c>
      <c r="L30" s="17" t="e">
        <f>M7*E9/E11*0.464</f>
        <v>#VALUE!</v>
      </c>
      <c r="M30" s="17" t="e">
        <f>M7*E9/E11*0.409</f>
        <v>#VALUE!</v>
      </c>
      <c r="N30" s="17" t="e">
        <f>M7*E9/E11*0.36</f>
        <v>#VALUE!</v>
      </c>
      <c r="O30" s="17" t="e">
        <f>M7*E9/E11*0.316</f>
        <v>#VALUE!</v>
      </c>
      <c r="P30" s="17" t="e">
        <f>M7*E9/E11*0.279</f>
        <v>#VALUE!</v>
      </c>
    </row>
    <row r="31" spans="1:24" x14ac:dyDescent="0.25">
      <c r="A31" t="s">
        <v>59</v>
      </c>
      <c r="C31" s="5"/>
      <c r="D31" s="5"/>
      <c r="E31" s="18" t="e">
        <f>M7*E9/E11*2.364</f>
        <v>#VALUE!</v>
      </c>
      <c r="F31" s="18" t="e">
        <f>M7*E9/E11*2.217</f>
        <v>#VALUE!</v>
      </c>
      <c r="G31" s="18" t="e">
        <f>M7*E9/E11*2.061</f>
        <v>#VALUE!</v>
      </c>
      <c r="H31" s="18" t="e">
        <f>M7*E9/E11*1.915</f>
        <v>#VALUE!</v>
      </c>
      <c r="I31" s="18" t="e">
        <f>M7*E9/E11*1.766</f>
        <v>#VALUE!</v>
      </c>
      <c r="J31" s="18" t="e">
        <f>M7*E9/E11*1.612</f>
        <v>#VALUE!</v>
      </c>
      <c r="K31" s="18" t="e">
        <f>M7*E9/E11*1.481</f>
        <v>#VALUE!</v>
      </c>
      <c r="L31" s="21" t="e">
        <f>M7*E9/E11*1.33</f>
        <v>#VALUE!</v>
      </c>
      <c r="M31" s="18" t="e">
        <f>M7*E9/E11*1.179</f>
        <v>#VALUE!</v>
      </c>
      <c r="N31" s="18" t="e">
        <f>M7*E9/E11*1</f>
        <v>#VALUE!</v>
      </c>
      <c r="O31" s="18" t="e">
        <f>M7*E9/E11*0.851</f>
        <v>#VALUE!</v>
      </c>
      <c r="P31" s="18" t="e">
        <f>M7*E9/E11*0.697</f>
        <v>#VALUE!</v>
      </c>
    </row>
    <row r="32" spans="1:24" x14ac:dyDescent="0.25">
      <c r="A32" s="7" t="s">
        <v>60</v>
      </c>
      <c r="B32" s="7"/>
      <c r="C32" s="7"/>
      <c r="D32" s="7"/>
      <c r="E32" s="7"/>
      <c r="F32" s="17" t="e">
        <f>M7*E9/E11*2.153</f>
        <v>#VALUE!</v>
      </c>
      <c r="G32" s="17" t="e">
        <f>M7*E9/E11*1.888</f>
        <v>#VALUE!</v>
      </c>
      <c r="H32" s="17" t="e">
        <f>M7*E9/E11*1.667</f>
        <v>#VALUE!</v>
      </c>
      <c r="I32" s="17" t="e">
        <f>M7*E9/E11*1.462</f>
        <v>#VALUE!</v>
      </c>
      <c r="J32" s="17" t="e">
        <f>M7*E9/E11*1.292</f>
        <v>#VALUE!</v>
      </c>
      <c r="K32" s="17" t="e">
        <f>M7*E9/E11*1.1134</f>
        <v>#VALUE!</v>
      </c>
      <c r="L32" s="17" t="e">
        <f>M7*E9/E11*0.995</f>
        <v>#VALUE!</v>
      </c>
      <c r="M32" s="17" t="e">
        <f>M7*E9/E11*0.878</f>
        <v>#VALUE!</v>
      </c>
      <c r="N32" s="17" t="e">
        <f>M7*E9/E11*0.77</f>
        <v>#VALUE!</v>
      </c>
      <c r="O32" s="17" t="e">
        <f>M7*E9/E11*0.681</f>
        <v>#VALUE!</v>
      </c>
      <c r="P32" s="17" t="e">
        <f>M7*E9/E11*0.527</f>
        <v>#VALUE!</v>
      </c>
    </row>
    <row r="33" spans="1:16" x14ac:dyDescent="0.25">
      <c r="A33" s="9" t="s">
        <v>61</v>
      </c>
      <c r="B33" s="9"/>
      <c r="C33" s="9"/>
      <c r="D33" s="9"/>
      <c r="E33" s="9"/>
      <c r="F33" s="23"/>
      <c r="G33" s="23"/>
      <c r="H33" s="18" t="e">
        <f>M7*E9/E11*1.846</f>
        <v>#VALUE!</v>
      </c>
      <c r="I33" s="18" t="e">
        <f>M7*E9/E11*1.611</f>
        <v>#VALUE!</v>
      </c>
      <c r="J33" s="18" t="e">
        <f>M7*E9/E11*1.375</f>
        <v>#VALUE!</v>
      </c>
      <c r="K33" s="18" t="e">
        <f>M7*E9/E11*1.172</f>
        <v>#VALUE!</v>
      </c>
      <c r="L33" s="18" t="e">
        <f>M7*E9/E11*1</f>
        <v>#VALUE!</v>
      </c>
      <c r="M33" s="18" t="e">
        <f>M7*E9/E11*0.853</f>
        <v>#VALUE!</v>
      </c>
      <c r="N33" s="18" t="e">
        <f>M7*E9/E11*0.727</f>
        <v>#VALUE!</v>
      </c>
      <c r="O33" s="18" t="e">
        <f>M7*E9/E11*0.621</f>
        <v>#VALUE!</v>
      </c>
      <c r="P33" s="18" t="e">
        <f>M7*E9/E11*0.542</f>
        <v>#VALUE!</v>
      </c>
    </row>
    <row r="34" spans="1:16" x14ac:dyDescent="0.25">
      <c r="A34" s="7" t="s">
        <v>62</v>
      </c>
      <c r="B34" s="7"/>
      <c r="C34" s="7"/>
      <c r="D34" s="7"/>
      <c r="E34" s="7"/>
      <c r="F34" s="22"/>
      <c r="G34" s="22"/>
      <c r="H34" s="17" t="e">
        <f>M7*E9/E11*1.58</f>
        <v>#VALUE!</v>
      </c>
      <c r="I34" s="17" t="e">
        <f>M7*E9/E11*1.36</f>
        <v>#VALUE!</v>
      </c>
      <c r="J34" s="17" t="e">
        <f>M7*E9/E11*1.2</f>
        <v>#VALUE!</v>
      </c>
      <c r="K34" s="17" t="e">
        <f>M7*E9/E11*1.05</f>
        <v>#VALUE!</v>
      </c>
      <c r="L34" s="17" t="e">
        <f>M7*E9/E11*0.9</f>
        <v>#VALUE!</v>
      </c>
      <c r="M34" s="17" t="e">
        <f>M7*E9/E11*0.8</f>
        <v>#VALUE!</v>
      </c>
      <c r="N34" s="17" t="e">
        <f>M7*E9/E11*0.71</f>
        <v>#VALUE!</v>
      </c>
      <c r="O34" s="17" t="e">
        <f>M7*E9/E11*0.61</f>
        <v>#VALUE!</v>
      </c>
      <c r="P34" s="17" t="e">
        <f>M7*E9/E11*0.54</f>
        <v>#VALUE!</v>
      </c>
    </row>
    <row r="35" spans="1:16" x14ac:dyDescent="0.25">
      <c r="A35" t="s">
        <v>63</v>
      </c>
      <c r="B35" s="9"/>
      <c r="C35" s="9"/>
      <c r="D35" s="9"/>
      <c r="E35" s="9"/>
      <c r="F35" s="23"/>
      <c r="G35" s="23"/>
      <c r="H35" s="27"/>
      <c r="I35" s="18" t="e">
        <f>M7*E9/E11*1.58</f>
        <v>#VALUE!</v>
      </c>
      <c r="J35" s="18" t="e">
        <f>M7*E9/E11*1.36</f>
        <v>#VALUE!</v>
      </c>
      <c r="K35" s="18" t="e">
        <f>M7*E9/E11*1.2</f>
        <v>#VALUE!</v>
      </c>
      <c r="L35" s="18" t="e">
        <f>M7*E9/E11*1.05</f>
        <v>#VALUE!</v>
      </c>
      <c r="M35" s="18" t="e">
        <f>M7*E9/E11*0.9</f>
        <v>#VALUE!</v>
      </c>
      <c r="N35" s="18" t="e">
        <f>M7*E9/E11*0.8</f>
        <v>#VALUE!</v>
      </c>
      <c r="O35" s="18" t="e">
        <f>M7*E9/E11*0.71</f>
        <v>#VALUE!</v>
      </c>
      <c r="P35" s="18" t="e">
        <f>M7*E9/E11*0.61</f>
        <v>#VALUE!</v>
      </c>
    </row>
    <row r="36" spans="1:16" x14ac:dyDescent="0.25">
      <c r="A36" s="7" t="s">
        <v>64</v>
      </c>
      <c r="B36" s="7"/>
      <c r="C36" s="7"/>
      <c r="D36" s="7"/>
      <c r="E36" s="7"/>
      <c r="F36" s="22"/>
      <c r="G36" s="22"/>
      <c r="H36" s="22"/>
      <c r="I36" s="17" t="e">
        <f>M7*E9/E11*1.615</f>
        <v>#VALUE!</v>
      </c>
      <c r="J36" s="17" t="e">
        <f>M7*E9/E11*1.419</f>
        <v>#VALUE!</v>
      </c>
      <c r="K36" s="17" t="e">
        <f>M7*E9/E11*1.223</f>
        <v>#VALUE!</v>
      </c>
      <c r="L36" s="17" t="e">
        <f>M7*E9/E11*1</f>
        <v>#VALUE!</v>
      </c>
      <c r="M36" s="17" t="e">
        <f>M7*E9/E11*0.851</f>
        <v>#VALUE!</v>
      </c>
      <c r="N36" s="17" t="e">
        <f>M7*E9/E11*0.727</f>
        <v>#VALUE!</v>
      </c>
      <c r="O36" s="17" t="e">
        <f>M7*E9/E11*0.664</f>
        <v>#VALUE!</v>
      </c>
      <c r="P36" s="17" t="e">
        <f>M7*E9/E11*0.527</f>
        <v>#VALUE!</v>
      </c>
    </row>
    <row r="37" spans="1:16" x14ac:dyDescent="0.25">
      <c r="A37" t="s">
        <v>35</v>
      </c>
      <c r="I37" s="18" t="e">
        <f>M7*E9/E11*3.054</f>
        <v>#VALUE!</v>
      </c>
      <c r="J37" s="18" t="e">
        <f>M7*E9/E11*2.384</f>
        <v>#VALUE!</v>
      </c>
      <c r="K37" s="18" t="e">
        <f>M7*E9/E11*2.106</f>
        <v>#VALUE!</v>
      </c>
      <c r="L37" s="18" t="e">
        <f>M7*E9/E11*1.858</f>
        <v>#VALUE!</v>
      </c>
      <c r="M37" s="18" t="e">
        <f>M7*E9/E11*1.644</f>
        <v>#VALUE!</v>
      </c>
      <c r="N37" s="18" t="e">
        <f>M7*E9/E11*1.45</f>
        <v>#VALUE!</v>
      </c>
      <c r="O37" s="18" t="e">
        <f>M7*E9/E11*1.281</f>
        <v>#VALUE!</v>
      </c>
      <c r="P37" s="18" t="e">
        <f>M7*E9/E11*1</f>
        <v>#VALUE!</v>
      </c>
    </row>
    <row r="38" spans="1:16" x14ac:dyDescent="0.25">
      <c r="A38" s="7" t="s">
        <v>37</v>
      </c>
      <c r="B38" s="7"/>
      <c r="C38" s="7"/>
      <c r="D38" s="7"/>
      <c r="E38" s="7"/>
      <c r="F38" s="7"/>
      <c r="G38" s="7"/>
      <c r="H38" s="7"/>
      <c r="I38" s="17" t="e">
        <f>M7*E9/E11*3.24</f>
        <v>#VALUE!</v>
      </c>
      <c r="J38" s="17" t="e">
        <f>M7*E9/E11*2.49</f>
        <v>#VALUE!</v>
      </c>
      <c r="K38" s="17" t="e">
        <f>M7*E9/E11*2.19</f>
        <v>#VALUE!</v>
      </c>
      <c r="L38" s="17" t="e">
        <f>M7*E9/E11*1.93</f>
        <v>#VALUE!</v>
      </c>
      <c r="M38" s="17" t="e">
        <f>M7*E9/E11*1.68</f>
        <v>#VALUE!</v>
      </c>
      <c r="N38" s="17" t="e">
        <f>M7*E9/E11*1.48</f>
        <v>#VALUE!</v>
      </c>
      <c r="O38" s="17" t="e">
        <f>M7*E9/E11*1.3</f>
        <v>#VALUE!</v>
      </c>
      <c r="P38" s="17" t="e">
        <f>M7*E9/E11</f>
        <v>#VALUE!</v>
      </c>
    </row>
    <row r="39" spans="1:16" x14ac:dyDescent="0.25">
      <c r="A39" s="9" t="s">
        <v>65</v>
      </c>
      <c r="B39" s="9"/>
      <c r="C39" s="9"/>
      <c r="D39" s="9"/>
      <c r="E39" s="9"/>
      <c r="F39" s="9"/>
      <c r="G39" s="9"/>
      <c r="H39" s="9"/>
      <c r="I39" s="23"/>
      <c r="J39" s="24" t="e">
        <f>M7*E9/E11*1.545</f>
        <v>#VALUE!</v>
      </c>
      <c r="K39" s="24" t="e">
        <f>M7*E9/E11*1.335</f>
        <v>#VALUE!</v>
      </c>
      <c r="L39" s="24" t="e">
        <f>M7*E9/E11*1.145</f>
        <v>#VALUE!</v>
      </c>
      <c r="M39" s="24" t="e">
        <f>M7*E9/E11*0.989</f>
        <v>#VALUE!</v>
      </c>
      <c r="N39" s="24" t="e">
        <f>M7*E9/E11*0.843</f>
        <v>#VALUE!</v>
      </c>
      <c r="O39" s="24" t="e">
        <f>M7*E9/E11*0.741</f>
        <v>#VALUE!</v>
      </c>
      <c r="P39" s="24" t="e">
        <f>M7*E9/E11*0.632</f>
        <v>#VALUE!</v>
      </c>
    </row>
    <row r="40" spans="1:16" x14ac:dyDescent="0.25">
      <c r="A40" s="7" t="s">
        <v>66</v>
      </c>
      <c r="B40" s="7"/>
      <c r="C40" s="7"/>
      <c r="D40" s="7"/>
      <c r="E40" s="7"/>
      <c r="F40" s="7"/>
      <c r="G40" s="7"/>
      <c r="H40" s="7"/>
      <c r="I40" s="22"/>
      <c r="J40" s="17" t="e">
        <f>M7*E9/E11*1.742</f>
        <v>#VALUE!</v>
      </c>
      <c r="K40" s="17" t="e">
        <f>M7*E9/E11*1.476</f>
        <v>#VALUE!</v>
      </c>
      <c r="L40" s="17" t="e">
        <f>M7*E9/E11*1.236</f>
        <v>#VALUE!</v>
      </c>
      <c r="M40" s="17" t="e">
        <f>M7*E9/E11</f>
        <v>#VALUE!</v>
      </c>
      <c r="N40" s="17" t="e">
        <f>M7*E9/E11*0.809</f>
        <v>#VALUE!</v>
      </c>
      <c r="O40" s="17" t="e">
        <f>M7*E9/E11*0.677</f>
        <v>#VALUE!</v>
      </c>
      <c r="P40" s="17" t="e">
        <f>M7*E9/E11*0.574</f>
        <v>#VALUE!</v>
      </c>
    </row>
    <row r="41" spans="1:16" x14ac:dyDescent="0.25">
      <c r="A41" s="9" t="s">
        <v>67</v>
      </c>
      <c r="B41" s="9"/>
      <c r="C41" s="9"/>
      <c r="D41" s="9"/>
      <c r="E41" s="9"/>
      <c r="F41" s="9"/>
      <c r="G41" s="9"/>
      <c r="H41" s="9"/>
      <c r="I41" s="23"/>
      <c r="J41" s="20" t="e">
        <f>M7*E9/E11*1.685</f>
        <v>#VALUE!</v>
      </c>
      <c r="K41" s="20" t="e">
        <f>M7*E9/E11*1.476</f>
        <v>#VALUE!</v>
      </c>
      <c r="L41" s="20" t="e">
        <f>M7*E9/E11*1.227</f>
        <v>#VALUE!</v>
      </c>
      <c r="M41" s="20" t="e">
        <f>M7*E9/E11</f>
        <v>#VALUE!</v>
      </c>
      <c r="N41" s="20" t="e">
        <f>M7*E9/E11*0.815</f>
        <v>#VALUE!</v>
      </c>
      <c r="O41" s="20" t="e">
        <f>M7*E9/E11*0.667</f>
        <v>#VALUE!</v>
      </c>
      <c r="P41" s="20" t="e">
        <f>M7*E9/E11*0.593</f>
        <v>#VALUE!</v>
      </c>
    </row>
    <row r="42" spans="1:16" x14ac:dyDescent="0.25">
      <c r="A42" s="7" t="s">
        <v>36</v>
      </c>
      <c r="B42" s="7"/>
      <c r="C42" s="7"/>
      <c r="D42" s="7"/>
      <c r="E42" s="7"/>
      <c r="F42" s="7"/>
      <c r="G42" s="7"/>
      <c r="H42" s="7"/>
      <c r="I42" s="22"/>
      <c r="J42" s="17" t="e">
        <f>M7*E9/E11*1.667</f>
        <v>#VALUE!</v>
      </c>
      <c r="K42" s="17" t="e">
        <f>M7*E9/E11*1.45</f>
        <v>#VALUE!</v>
      </c>
      <c r="L42" s="17" t="e">
        <f>M7*E9/E11*1.243</f>
        <v>#VALUE!</v>
      </c>
      <c r="M42" s="17" t="e">
        <f>M7*E9/E11</f>
        <v>#VALUE!</v>
      </c>
      <c r="N42" s="17" t="e">
        <f>M7*E9/E11*0.804</f>
        <v>#VALUE!</v>
      </c>
      <c r="O42" s="17" t="e">
        <f>M7*E9/E11*0.69</f>
        <v>#VALUE!</v>
      </c>
      <c r="P42" s="17" t="e">
        <f>M7*E9/E11*0.6</f>
        <v>#VALUE!</v>
      </c>
    </row>
    <row r="43" spans="1:16" x14ac:dyDescent="0.25">
      <c r="A43" s="9" t="s">
        <v>38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20" t="e">
        <f>M7*E9/E11*1.5</f>
        <v>#VALUE!</v>
      </c>
      <c r="M43" s="20" t="e">
        <f>M7*E9/E11*1.267</f>
        <v>#VALUE!</v>
      </c>
      <c r="N43" s="20" t="e">
        <f>M7*E9/E11</f>
        <v>#VALUE!</v>
      </c>
      <c r="O43" s="20" t="e">
        <f>M7*E9/E11*0.789</f>
        <v>#VALUE!</v>
      </c>
      <c r="P43" s="20" t="e">
        <f>M7*E9/E11*0.667</f>
        <v>#VALUE!</v>
      </c>
    </row>
    <row r="44" spans="1:16" x14ac:dyDescent="0.25">
      <c r="A44" s="7" t="s">
        <v>39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17" t="e">
        <f>M7*E9/E11*1.6</f>
        <v>#VALUE!</v>
      </c>
      <c r="M44" s="17" t="e">
        <f>M7*E9/E11*1.33</f>
        <v>#VALUE!</v>
      </c>
      <c r="N44" s="17" t="e">
        <f>M7*E9/E11</f>
        <v>#VALUE!</v>
      </c>
      <c r="O44" s="17" t="e">
        <f>M7*E9/E11*0.75</f>
        <v>#VALUE!</v>
      </c>
      <c r="P44" s="17" t="e">
        <f>M7*E9/E11*0.63</f>
        <v>#VALUE!</v>
      </c>
    </row>
    <row r="45" spans="1:16" x14ac:dyDescent="0.25">
      <c r="A45" s="9" t="s">
        <v>68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20" t="e">
        <f>M7*E9/E11*1.5</f>
        <v>#VALUE!</v>
      </c>
      <c r="M45" s="20" t="e">
        <f>M7*E9/E11*1.286</f>
        <v>#VALUE!</v>
      </c>
      <c r="N45" s="20" t="e">
        <f>M7*E9/E11</f>
        <v>#VALUE!</v>
      </c>
      <c r="O45" s="20" t="e">
        <f>M7*E9/E11*0.778</f>
        <v>#VALUE!</v>
      </c>
      <c r="P45" s="20" t="e">
        <f>M7*E9/E11*0.667</f>
        <v>#VALUE!</v>
      </c>
    </row>
    <row r="46" spans="1:16" x14ac:dyDescent="0.25">
      <c r="A46" s="7" t="s">
        <v>69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17" t="e">
        <f>M7*E9/E11*1.579</f>
        <v>#VALUE!</v>
      </c>
      <c r="M46" s="17" t="e">
        <f>M7*E9/E11*1.281</f>
        <v>#VALUE!</v>
      </c>
      <c r="N46" s="17" t="e">
        <f>M7*E9/E11</f>
        <v>#VALUE!</v>
      </c>
      <c r="O46" s="17" t="e">
        <f>M7*E9/E11*0.781</f>
        <v>#VALUE!</v>
      </c>
      <c r="P46" s="17" t="e">
        <f>M7*E9/E11*0.633</f>
        <v>#VALUE!</v>
      </c>
    </row>
    <row r="47" spans="1:16" x14ac:dyDescent="0.25">
      <c r="A47" s="9" t="s">
        <v>70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20" t="e">
        <f>M7*E9/E11*1.545</f>
        <v>#VALUE!</v>
      </c>
      <c r="M47" s="20" t="e">
        <f>M7*E9/E11*1.335</f>
        <v>#VALUE!</v>
      </c>
      <c r="N47" s="20" t="e">
        <f>M7*E9/E11*1.159</f>
        <v>#VALUE!</v>
      </c>
      <c r="O47" s="20" t="e">
        <f>M7*E9/E11*1.001</f>
        <v>#VALUE!</v>
      </c>
      <c r="P47" s="20" t="e">
        <f>M7*E9/E11*0.75</f>
        <v>#VALUE!</v>
      </c>
    </row>
    <row r="48" spans="1:16" x14ac:dyDescent="0.25">
      <c r="A48" s="7" t="s">
        <v>71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25"/>
      <c r="M48" s="26" t="e">
        <f>M7*E9/E11*1.843</f>
        <v>#VALUE!</v>
      </c>
      <c r="N48" s="26" t="e">
        <f>M7*E9/E11*1.5</f>
        <v>#VALUE!</v>
      </c>
      <c r="O48" s="26" t="e">
        <f>M7*E9/E11*1.244</f>
        <v>#VALUE!</v>
      </c>
      <c r="P48" s="26" t="e">
        <f>M7*E9/E11</f>
        <v>#VALUE!</v>
      </c>
    </row>
    <row r="49" spans="1:22" x14ac:dyDescent="0.25">
      <c r="A49" s="9" t="s">
        <v>72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23"/>
      <c r="M49" s="20" t="e">
        <f>M7*E9/E11*1.267</f>
        <v>#VALUE!</v>
      </c>
      <c r="N49" s="20" t="e">
        <f>M7*E9/E11</f>
        <v>#VALUE!</v>
      </c>
      <c r="O49" s="20" t="e">
        <f>M7*E9/E11*0.789</f>
        <v>#VALUE!</v>
      </c>
      <c r="P49" s="20" t="e">
        <f>M7*E9/E11*0.667</f>
        <v>#VALUE!</v>
      </c>
    </row>
    <row r="50" spans="1:22" x14ac:dyDescent="0.25">
      <c r="A50" s="7" t="s">
        <v>73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22"/>
      <c r="M50" s="17" t="e">
        <f>M7*E9/E11*1.091</f>
        <v>#VALUE!</v>
      </c>
      <c r="N50" s="17" t="e">
        <f>M7*E9/E11</f>
        <v>#VALUE!</v>
      </c>
      <c r="O50" s="17" t="e">
        <f>M7*E9/E11*0.9</f>
        <v>#VALUE!</v>
      </c>
      <c r="P50" s="17" t="e">
        <f>M7*E9/E11*0.75</f>
        <v>#VALUE!</v>
      </c>
    </row>
    <row r="51" spans="1:22" x14ac:dyDescent="0.25">
      <c r="A51" s="9" t="s">
        <v>74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23"/>
      <c r="M51" s="20" t="e">
        <f>M7*E9/E11*1.125</f>
        <v>#VALUE!</v>
      </c>
      <c r="N51" s="20" t="e">
        <f>M7*E9/E11</f>
        <v>#VALUE!</v>
      </c>
      <c r="O51" s="20" t="e">
        <f>M7*E9/E11*0.857</f>
        <v>#VALUE!</v>
      </c>
      <c r="P51" s="20" t="e">
        <f>M7*E9/E11*0.667</f>
        <v>#VALUE!</v>
      </c>
    </row>
    <row r="52" spans="1:22" x14ac:dyDescent="0.25">
      <c r="A52" s="7" t="s">
        <v>75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22"/>
      <c r="M52" s="17" t="e">
        <f>M7*E9/E11*1.33</f>
        <v>#VALUE!</v>
      </c>
      <c r="N52" s="17" t="e">
        <f>M7*E9/E11</f>
        <v>#VALUE!</v>
      </c>
      <c r="O52" s="17" t="e">
        <f>M7*E9/E11*0.75</f>
        <v>#VALUE!</v>
      </c>
      <c r="P52" s="17" t="e">
        <f>M7*E9/E11*0.6</f>
        <v>#VALUE!</v>
      </c>
      <c r="V52" s="9"/>
    </row>
    <row r="53" spans="1:22" x14ac:dyDescent="0.25">
      <c r="A53" s="9" t="s">
        <v>76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23"/>
      <c r="M53" s="27"/>
      <c r="N53" s="20" t="e">
        <f>M7*E9/E11*1.25</f>
        <v>#VALUE!</v>
      </c>
      <c r="O53" s="20" t="e">
        <f>M7*E9/E11</f>
        <v>#VALUE!</v>
      </c>
      <c r="P53" s="20" t="e">
        <f>M7*E9/E11*0.8</f>
        <v>#VALUE!</v>
      </c>
    </row>
    <row r="54" spans="1:22" x14ac:dyDescent="0.25">
      <c r="A54" s="7" t="s">
        <v>77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22"/>
      <c r="M54" s="22"/>
      <c r="N54" s="17" t="e">
        <f>M7*E9/E11*1</f>
        <v>#VALUE!</v>
      </c>
      <c r="O54" s="17" t="e">
        <f>M7*E9/E11*0.8</f>
        <v>#VALUE!</v>
      </c>
      <c r="P54" s="17" t="e">
        <f>M7*E9/E11*0.667</f>
        <v>#VALUE!</v>
      </c>
    </row>
    <row r="55" spans="1:22" x14ac:dyDescent="0.25">
      <c r="A55" s="9" t="s">
        <v>78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23"/>
      <c r="M55" s="23"/>
      <c r="N55" s="20" t="e">
        <f>M7*E9/E11*1.333</f>
        <v>#VALUE!</v>
      </c>
      <c r="O55" s="20" t="e">
        <f>M7*E9/E11</f>
        <v>#VALUE!</v>
      </c>
      <c r="P55" s="20" t="e">
        <f>M7*E9/E11*0.75</f>
        <v>#VALUE!</v>
      </c>
    </row>
    <row r="56" spans="1:22" x14ac:dyDescent="0.25">
      <c r="A56" s="7" t="s">
        <v>99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17" t="e">
        <f>M7*E9/E11*1.362</f>
        <v>#VALUE!</v>
      </c>
      <c r="O56" s="17" t="e">
        <f>M7*E9/E11</f>
        <v>#VALUE!</v>
      </c>
      <c r="P56" s="17" t="e">
        <f>M7*E9/E11*0.734</f>
        <v>#VALUE!</v>
      </c>
    </row>
    <row r="57" spans="1:22" x14ac:dyDescent="0.25">
      <c r="A57" s="9" t="s">
        <v>32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20" t="e">
        <f>M7*E9/E11*1.333</f>
        <v>#VALUE!</v>
      </c>
      <c r="O57" s="20" t="e">
        <f>M7*E9/E11</f>
        <v>#VALUE!</v>
      </c>
      <c r="P57" s="20" t="e">
        <f>M7*E9/E11*0.75</f>
        <v>#VALUE!</v>
      </c>
    </row>
    <row r="58" spans="1:22" x14ac:dyDescent="0.25">
      <c r="A58" s="7" t="s">
        <v>79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17" t="e">
        <f>M7*E9/E11*1.36</f>
        <v>#VALUE!</v>
      </c>
      <c r="O58" s="17" t="e">
        <f>M7*E9/E11</f>
        <v>#VALUE!</v>
      </c>
      <c r="P58" s="17" t="e">
        <f>M7*E9/E11*0.733</f>
        <v>#VALUE!</v>
      </c>
    </row>
    <row r="59" spans="1:22" x14ac:dyDescent="0.25">
      <c r="A59" s="9" t="s">
        <v>22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20" t="e">
        <f>M7*E9/E11*1.362</f>
        <v>#VALUE!</v>
      </c>
      <c r="O59" s="20" t="e">
        <f>M7*E9/E11</f>
        <v>#VALUE!</v>
      </c>
      <c r="P59" s="20" t="e">
        <f>M7*E9/E11*0.734</f>
        <v>#VALUE!</v>
      </c>
    </row>
    <row r="60" spans="1:22" x14ac:dyDescent="0.25">
      <c r="A60" s="7" t="s">
        <v>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17" t="e">
        <f>M7*E9/E11*1.25</f>
        <v>#VALUE!</v>
      </c>
      <c r="O60" s="17" t="e">
        <f>M7*E9/E11</f>
        <v>#VALUE!</v>
      </c>
      <c r="P60" s="17" t="e">
        <f>M7*E9/E11*0.8</f>
        <v>#VALUE!</v>
      </c>
    </row>
    <row r="61" spans="1:22" x14ac:dyDescent="0.25">
      <c r="A61" s="9" t="s">
        <v>80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20" t="e">
        <f>M7*E9/E11*1.313</f>
        <v>#VALUE!</v>
      </c>
      <c r="O61" s="20" t="e">
        <f>M7*E9/E11*1</f>
        <v>#VALUE!</v>
      </c>
      <c r="P61" s="20" t="e">
        <f>M7*E9/E11*0.762</f>
        <v>#VALUE!</v>
      </c>
    </row>
    <row r="62" spans="1:22" x14ac:dyDescent="0.25">
      <c r="A62" s="7" t="s">
        <v>4</v>
      </c>
      <c r="B62" s="7"/>
      <c r="C62" s="7"/>
      <c r="D62" s="7" t="s">
        <v>40</v>
      </c>
      <c r="E62" s="7"/>
      <c r="F62" s="7"/>
      <c r="G62" s="7"/>
      <c r="H62" s="7"/>
      <c r="I62" s="7"/>
      <c r="J62" s="7"/>
      <c r="K62" s="7"/>
      <c r="L62" s="7"/>
      <c r="M62" s="7"/>
      <c r="N62" s="17" t="e">
        <f>M7*E9/E11*1.333</f>
        <v>#VALUE!</v>
      </c>
      <c r="O62" s="17" t="e">
        <f>M7*E9/E11</f>
        <v>#VALUE!</v>
      </c>
      <c r="P62" s="17" t="e">
        <f>M7*E9/E11*0.75</f>
        <v>#VALUE!</v>
      </c>
    </row>
    <row r="63" spans="1:22" x14ac:dyDescent="0.25">
      <c r="A63" s="9" t="s">
        <v>81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20" t="e">
        <f>M7*E9/E11*1.333</f>
        <v>#VALUE!</v>
      </c>
      <c r="O63" s="20" t="e">
        <f>M7*E9/E11</f>
        <v>#VALUE!</v>
      </c>
      <c r="P63" s="20" t="e">
        <f>M7*E9/E11*0.75</f>
        <v>#VALUE!</v>
      </c>
    </row>
    <row r="64" spans="1:22" x14ac:dyDescent="0.25">
      <c r="A64" s="7" t="s">
        <v>82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17" t="e">
        <f>M7*E9/E11*1.333</f>
        <v>#VALUE!</v>
      </c>
      <c r="O64" s="17" t="e">
        <f>M7*E9/E11</f>
        <v>#VALUE!</v>
      </c>
      <c r="P64" s="17" t="e">
        <f>M7*E9/E11*0.75</f>
        <v>#VALUE!</v>
      </c>
    </row>
    <row r="65" spans="1:16" x14ac:dyDescent="0.25">
      <c r="A65" s="9" t="s">
        <v>83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20" t="e">
        <f>M7*E9/E11*1.333</f>
        <v>#VALUE!</v>
      </c>
      <c r="O65" s="20" t="e">
        <f>M7*E9/E11</f>
        <v>#VALUE!</v>
      </c>
      <c r="P65" s="20" t="e">
        <f>M7*E9/E11*0.75</f>
        <v>#VALUE!</v>
      </c>
    </row>
    <row r="66" spans="1:16" x14ac:dyDescent="0.25">
      <c r="A66" s="7" t="s">
        <v>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17" t="e">
        <f>M7*E9/E11*1.156</f>
        <v>#VALUE!</v>
      </c>
      <c r="O66" s="17" t="e">
        <f>M7*E9/E11</f>
        <v>#VALUE!</v>
      </c>
      <c r="P66" s="17" t="e">
        <f>M7*E9/E11*0.865</f>
        <v>#VALUE!</v>
      </c>
    </row>
    <row r="67" spans="1:16" x14ac:dyDescent="0.25">
      <c r="A67" s="9" t="s">
        <v>6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20" t="e">
        <f>M7*E9/E11*1.125</f>
        <v>#VALUE!</v>
      </c>
      <c r="O67" s="20" t="e">
        <f>M7*E9/E11</f>
        <v>#VALUE!</v>
      </c>
      <c r="P67" s="20" t="e">
        <f>M7*E9/E11*0.889</f>
        <v>#VALUE!</v>
      </c>
    </row>
    <row r="68" spans="1:16" x14ac:dyDescent="0.25">
      <c r="A68" s="7" t="s">
        <v>41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17" t="e">
        <f>M7*E9/E11</f>
        <v>#VALUE!</v>
      </c>
      <c r="O68" s="17" t="e">
        <f>M7*E9/E11*0.75</f>
        <v>#VALUE!</v>
      </c>
      <c r="P68" s="17" t="e">
        <f>M7*E9/E11*0.625</f>
        <v>#VALUE!</v>
      </c>
    </row>
    <row r="69" spans="1:16" x14ac:dyDescent="0.25">
      <c r="A69" s="40" t="s">
        <v>42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18" t="e">
        <f>M7*E9/E11</f>
        <v>#VALUE!</v>
      </c>
      <c r="O69" s="18" t="e">
        <f>M7*E9/E11*0.9</f>
        <v>#VALUE!</v>
      </c>
      <c r="P69" s="18" t="e">
        <f>M7*E9/E11*0.75</f>
        <v>#VALUE!</v>
      </c>
    </row>
    <row r="70" spans="1:16" x14ac:dyDescent="0.25">
      <c r="A70" s="7" t="s">
        <v>43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17" t="e">
        <f>M7*E9/E11*1.17</f>
        <v>#VALUE!</v>
      </c>
      <c r="O70" s="17" t="e">
        <f>M7*E9/E11</f>
        <v>#VALUE!</v>
      </c>
      <c r="P70" s="17" t="e">
        <f>M7*E9/E11*0.86</f>
        <v>#VALUE!</v>
      </c>
    </row>
    <row r="71" spans="1:16" x14ac:dyDescent="0.25">
      <c r="A71" s="9" t="s">
        <v>33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20" t="e">
        <f>M7*E9/E11*1.39</f>
        <v>#VALUE!</v>
      </c>
      <c r="O71" s="20" t="e">
        <f>M7*E9/E11</f>
        <v>#VALUE!</v>
      </c>
      <c r="P71" s="20" t="e">
        <f>M7*E9/E11*0.72</f>
        <v>#VALUE!</v>
      </c>
    </row>
    <row r="72" spans="1:16" x14ac:dyDescent="0.25">
      <c r="A72" s="7" t="s">
        <v>34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17" t="e">
        <f>M7*E9/E11*1.07</f>
        <v>#VALUE!</v>
      </c>
      <c r="O72" s="17" t="e">
        <f>M7*E9/E11</f>
        <v>#VALUE!</v>
      </c>
      <c r="P72" s="17" t="e">
        <f>M7*E9/E11*0.925</f>
        <v>#VALUE!</v>
      </c>
    </row>
    <row r="73" spans="1:16" x14ac:dyDescent="0.25">
      <c r="A73" s="9" t="s">
        <v>30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23"/>
      <c r="O73" s="24" t="e">
        <f>M7*E9/E11</f>
        <v>#VALUE!</v>
      </c>
      <c r="P73" s="24" t="e">
        <f>M7*E9/E11*0.68</f>
        <v>#VALUE!</v>
      </c>
    </row>
    <row r="74" spans="1:16" x14ac:dyDescent="0.25">
      <c r="A74" s="7" t="s">
        <v>31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2"/>
      <c r="O74" s="17" t="e">
        <f>M7*E9/E11*1.47</f>
        <v>#VALUE!</v>
      </c>
      <c r="P74" s="17" t="e">
        <f>M7*E9/E11</f>
        <v>#VALUE!</v>
      </c>
    </row>
    <row r="75" spans="1:16" x14ac:dyDescent="0.25">
      <c r="A75" s="9" t="s">
        <v>100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20" t="e">
        <f>M7*E9/E11</f>
        <v>#VALUE!</v>
      </c>
      <c r="P75" s="20" t="e">
        <f>M7*E9/E11*0.68</f>
        <v>#VALUE!</v>
      </c>
    </row>
    <row r="76" spans="1:16" x14ac:dyDescent="0.25">
      <c r="A76" s="7" t="s">
        <v>84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2"/>
      <c r="O76" s="17" t="e">
        <f>M7*1.37</f>
        <v>#VALUE!</v>
      </c>
      <c r="P76" s="17" t="e">
        <f>M7</f>
        <v>#VALUE!</v>
      </c>
    </row>
    <row r="77" spans="1:16" x14ac:dyDescent="0.25">
      <c r="A77" s="9" t="s">
        <v>23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23"/>
      <c r="O77" s="20" t="e">
        <f>M7*E9/E11</f>
        <v>#VALUE!</v>
      </c>
      <c r="P77" s="20" t="e">
        <f>M7*E9/E11*0.62</f>
        <v>#VALUE!</v>
      </c>
    </row>
    <row r="78" spans="1:16" x14ac:dyDescent="0.25">
      <c r="A78" s="7" t="s">
        <v>25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2"/>
      <c r="O78" s="17" t="e">
        <f>M7*E9/E11*1.362</f>
        <v>#VALUE!</v>
      </c>
      <c r="P78" s="17" t="e">
        <f>M7*E9/E11</f>
        <v>#VALUE!</v>
      </c>
    </row>
    <row r="79" spans="1:16" x14ac:dyDescent="0.25">
      <c r="A79" s="9" t="s">
        <v>24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23"/>
      <c r="O79" s="20" t="e">
        <f>M7*E9/E11</f>
        <v>#VALUE!</v>
      </c>
      <c r="P79" s="20" t="e">
        <f>M7*E9/E11*0.738</f>
        <v>#VALUE!</v>
      </c>
    </row>
    <row r="80" spans="1:16" x14ac:dyDescent="0.25">
      <c r="A80" s="7" t="s">
        <v>85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2"/>
      <c r="O80" s="17" t="e">
        <f>M7*1.5</f>
        <v>#VALUE!</v>
      </c>
      <c r="P80" s="17" t="e">
        <f>M7</f>
        <v>#VALUE!</v>
      </c>
    </row>
    <row r="81" spans="1:18" x14ac:dyDescent="0.25">
      <c r="A81" s="9" t="s">
        <v>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23"/>
      <c r="O81" s="20" t="e">
        <f>M7*E9/E11</f>
        <v>#VALUE!</v>
      </c>
      <c r="P81" s="20" t="e">
        <f>M7*E9/E11*0.74</f>
        <v>#VALUE!</v>
      </c>
    </row>
    <row r="82" spans="1:18" x14ac:dyDescent="0.25">
      <c r="A82" s="7" t="s">
        <v>28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2"/>
      <c r="O82" s="17" t="e">
        <f>M7*E9/E11</f>
        <v>#VALUE!</v>
      </c>
      <c r="P82" s="17" t="e">
        <f>M7*E9/E11*0.87</f>
        <v>#VALUE!</v>
      </c>
    </row>
    <row r="83" spans="1:18" x14ac:dyDescent="0.25">
      <c r="A83" s="9" t="s">
        <v>27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23"/>
      <c r="O83" s="20" t="e">
        <f>M7*E9/E11</f>
        <v>#VALUE!</v>
      </c>
      <c r="P83" s="20" t="e">
        <f>M7*E9/E11*0.71</f>
        <v>#VALUE!</v>
      </c>
    </row>
    <row r="84" spans="1:18" x14ac:dyDescent="0.25">
      <c r="A84" s="7" t="s">
        <v>29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2"/>
      <c r="O84" s="17" t="e">
        <f>M7*E9/E11*1.38</f>
        <v>#VALUE!</v>
      </c>
      <c r="P84" s="17" t="e">
        <f>M7*E9/E11</f>
        <v>#VALUE!</v>
      </c>
    </row>
    <row r="85" spans="1:18" x14ac:dyDescent="0.25">
      <c r="A85" s="9" t="s">
        <v>26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23"/>
      <c r="O85" s="20" t="e">
        <f>M7*E9/E11</f>
        <v>#VALUE!</v>
      </c>
      <c r="P85" s="20" t="e">
        <f>M7*E9/E11*0.75</f>
        <v>#VALUE!</v>
      </c>
    </row>
    <row r="86" spans="1:18" x14ac:dyDescent="0.25">
      <c r="A86" s="14" t="s">
        <v>89</v>
      </c>
    </row>
    <row r="87" spans="1:18" x14ac:dyDescent="0.25">
      <c r="D87" t="s">
        <v>20</v>
      </c>
      <c r="E87" t="s">
        <v>21</v>
      </c>
      <c r="K87" t="s">
        <v>19</v>
      </c>
    </row>
    <row r="88" spans="1:18" x14ac:dyDescent="0.25">
      <c r="A88" s="8" t="s">
        <v>7</v>
      </c>
      <c r="D88" s="17" t="e">
        <f>M7*E9/E11*1.75</f>
        <v>#VALUE!</v>
      </c>
      <c r="E88" s="17" t="e">
        <f>M7*E9/E11*0.5</f>
        <v>#VALUE!</v>
      </c>
      <c r="G88" t="s">
        <v>8</v>
      </c>
      <c r="K88" s="17" t="e">
        <f>M7*E9/E11*1.8</f>
        <v>#VALUE!</v>
      </c>
      <c r="L88" s="17" t="e">
        <f>M7*E9/E11*0.5</f>
        <v>#VALUE!</v>
      </c>
    </row>
    <row r="89" spans="1:18" ht="16.5" thickBot="1" x14ac:dyDescent="0.3">
      <c r="A89" s="29" t="s">
        <v>95</v>
      </c>
      <c r="B89" s="30"/>
      <c r="C89" s="30"/>
      <c r="D89" s="30"/>
      <c r="E89" s="30"/>
      <c r="F89" s="30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1:18" ht="15.75" thickTop="1" x14ac:dyDescent="0.25">
      <c r="A90" s="32" t="s">
        <v>98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4"/>
    </row>
    <row r="91" spans="1:18" x14ac:dyDescent="0.25">
      <c r="A91" s="35" t="s">
        <v>96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36"/>
    </row>
    <row r="92" spans="1:18" ht="15.75" thickBot="1" x14ac:dyDescent="0.3">
      <c r="A92" s="35"/>
      <c r="B92" s="45"/>
      <c r="C92" s="4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36"/>
    </row>
    <row r="93" spans="1:18" ht="15.75" thickBot="1" x14ac:dyDescent="0.3">
      <c r="A93" s="35"/>
      <c r="B93" s="45"/>
      <c r="C93" s="46" t="s">
        <v>2</v>
      </c>
      <c r="D93" s="41" t="e">
        <f>C93*E11/F11</f>
        <v>#VALUE!</v>
      </c>
      <c r="E93" s="42" t="e">
        <f>C93*E11/G11</f>
        <v>#VALUE!</v>
      </c>
      <c r="F93" s="42" t="e">
        <f>C93*E11/H11</f>
        <v>#VALUE!</v>
      </c>
      <c r="G93" s="42" t="e">
        <f>C93*E11/I11</f>
        <v>#VALUE!</v>
      </c>
      <c r="H93" s="42" t="e">
        <f>C93*E11/J11</f>
        <v>#VALUE!</v>
      </c>
      <c r="I93" s="42" t="e">
        <f>C93*E11/K11</f>
        <v>#VALUE!</v>
      </c>
      <c r="J93" s="42" t="e">
        <f>C93*E11/L11</f>
        <v>#VALUE!</v>
      </c>
      <c r="K93" s="42" t="e">
        <f>C93*E11/M11</f>
        <v>#VALUE!</v>
      </c>
      <c r="L93" s="42" t="e">
        <f>C93*E11/N11</f>
        <v>#VALUE!</v>
      </c>
      <c r="M93" s="42" t="e">
        <f>C93*E11/O11</f>
        <v>#VALUE!</v>
      </c>
      <c r="N93" s="42" t="e">
        <f>C93*E11/P11</f>
        <v>#VALUE!</v>
      </c>
      <c r="O93" s="42" t="e">
        <f>C93*E11/Q11</f>
        <v>#VALUE!</v>
      </c>
      <c r="R93" s="36"/>
    </row>
    <row r="94" spans="1:18" ht="15.75" thickBot="1" x14ac:dyDescent="0.3">
      <c r="A94" s="35"/>
      <c r="B94" s="45"/>
      <c r="C94" s="46" t="s">
        <v>2</v>
      </c>
      <c r="D94" s="43" t="e">
        <f>C94*E11/F11</f>
        <v>#VALUE!</v>
      </c>
      <c r="E94" s="43" t="e">
        <f>C94*E11/G11</f>
        <v>#VALUE!</v>
      </c>
      <c r="F94" s="43" t="e">
        <f>C94*E11/H11</f>
        <v>#VALUE!</v>
      </c>
      <c r="G94" s="43" t="e">
        <f>C94*E11/I11</f>
        <v>#VALUE!</v>
      </c>
      <c r="H94" s="43" t="e">
        <f>C94*E11/J11</f>
        <v>#VALUE!</v>
      </c>
      <c r="I94" s="43" t="e">
        <f>C94*E11/K11</f>
        <v>#VALUE!</v>
      </c>
      <c r="J94" s="43" t="e">
        <f>C94*E11/L11</f>
        <v>#VALUE!</v>
      </c>
      <c r="K94" s="43" t="e">
        <f>C94*E11/M11</f>
        <v>#VALUE!</v>
      </c>
      <c r="L94" s="43" t="e">
        <f>C94*E11/N11</f>
        <v>#VALUE!</v>
      </c>
      <c r="M94" s="43" t="e">
        <f>C94*E11/O11</f>
        <v>#VALUE!</v>
      </c>
      <c r="N94" s="43" t="e">
        <f>C94*E11/P11</f>
        <v>#VALUE!</v>
      </c>
      <c r="O94" s="43" t="e">
        <f>C94*E11/Q11</f>
        <v>#VALUE!</v>
      </c>
      <c r="R94" s="36"/>
    </row>
    <row r="95" spans="1:18" ht="15.75" thickBot="1" x14ac:dyDescent="0.3">
      <c r="A95" s="35"/>
      <c r="B95" s="45"/>
      <c r="C95" s="46" t="s">
        <v>2</v>
      </c>
      <c r="D95" s="42" t="e">
        <f>C95*E11/F11</f>
        <v>#VALUE!</v>
      </c>
      <c r="E95" s="42" t="e">
        <f>C95*E11/G11</f>
        <v>#VALUE!</v>
      </c>
      <c r="F95" s="42" t="e">
        <f>C95*E11/H11</f>
        <v>#VALUE!</v>
      </c>
      <c r="G95" s="42" t="e">
        <f>C95*E11/I11</f>
        <v>#VALUE!</v>
      </c>
      <c r="H95" s="42" t="e">
        <f>C95*E11/J11</f>
        <v>#VALUE!</v>
      </c>
      <c r="I95" s="42" t="e">
        <f>C95*E11/K11</f>
        <v>#VALUE!</v>
      </c>
      <c r="J95" s="42" t="e">
        <f>C95*E11/L11</f>
        <v>#VALUE!</v>
      </c>
      <c r="K95" s="42" t="e">
        <f>C95*E11/M11</f>
        <v>#VALUE!</v>
      </c>
      <c r="L95" s="42" t="e">
        <f>C95*E11/N11</f>
        <v>#VALUE!</v>
      </c>
      <c r="M95" s="42" t="e">
        <f>C95*E11/O11</f>
        <v>#VALUE!</v>
      </c>
      <c r="N95" s="42" t="e">
        <f>C95*E11/P11</f>
        <v>#VALUE!</v>
      </c>
      <c r="O95" s="42" t="e">
        <f>C95*E11/Q11</f>
        <v>#VALUE!</v>
      </c>
      <c r="R95" s="36"/>
    </row>
    <row r="96" spans="1:18" x14ac:dyDescent="0.25">
      <c r="A96" s="37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9"/>
    </row>
    <row r="97" spans="1:18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</sheetData>
  <sheetProtection password="CCFE" sheet="1" objects="1" scenarios="1" selectLockedCells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Wiel Van den Broek</cp:lastModifiedBy>
  <cp:lastPrinted>2015-03-29T08:15:39Z</cp:lastPrinted>
  <dcterms:created xsi:type="dcterms:W3CDTF">2015-03-29T08:11:04Z</dcterms:created>
  <dcterms:modified xsi:type="dcterms:W3CDTF">2021-05-03T19:18:49Z</dcterms:modified>
</cp:coreProperties>
</file>